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185" tabRatio="896" activeTab="0"/>
  </bookViews>
  <sheets>
    <sheet name="Front Cover" sheetId="1" r:id="rId1"/>
    <sheet name="Financial Summary (1)" sheetId="2" r:id="rId2"/>
    <sheet name="Financial Summary (2)" sheetId="3" r:id="rId3"/>
    <sheet name="Sensitivities (3)" sheetId="4" r:id="rId4"/>
    <sheet name="Input Flags" sheetId="5" r:id="rId5"/>
    <sheet name="Equipment Replacement" sheetId="6" r:id="rId6"/>
    <sheet name="Internal Use - SUMMARY" sheetId="7" state="hidden" r:id="rId7"/>
    <sheet name="Input - Club Income" sheetId="8" r:id="rId8"/>
    <sheet name="Input - AGP Hire" sheetId="9" r:id="rId9"/>
    <sheet name="Input - Other Costs" sheetId="10" r:id="rId10"/>
    <sheet name="Input - VAT" sheetId="11" state="hidden" r:id="rId11"/>
    <sheet name="Notes" sheetId="12" state="hidden" r:id="rId12"/>
  </sheets>
  <definedNames>
    <definedName name="_xlfn.SINGLE" hidden="1">#NAME?</definedName>
    <definedName name="_xlnm.Print_Area" localSheetId="5">'Equipment Replacement'!$A$6:$J$143</definedName>
    <definedName name="_xlnm.Print_Area" localSheetId="1">'Financial Summary (1)'!$A$1:$Q$75</definedName>
    <definedName name="_xlnm.Print_Area" localSheetId="2">'Financial Summary (2)'!$A$1:$K$85</definedName>
    <definedName name="_xlnm.Print_Area" localSheetId="0">'Front Cover'!$A$1:$M$32</definedName>
    <definedName name="_xlnm.Print_Area" localSheetId="8">'Input - AGP Hire'!$A$1:$K$17</definedName>
    <definedName name="_xlnm.Print_Area" localSheetId="7">'Input - Club Income'!$A$1:$H$180</definedName>
    <definedName name="_xlnm.Print_Area" localSheetId="9">'Input - Other Costs'!$A$1:$D$49</definedName>
    <definedName name="_xlnm.Print_Area" localSheetId="6">'Internal Use - SUMMARY'!$A$5:$H$38</definedName>
    <definedName name="_xlnm.Print_Area" localSheetId="3">'Sensitivities (3)'!$A$1:$S$21</definedName>
    <definedName name="_xlnm.Print_Titles" localSheetId="5">'Equipment Replacement'!$1:$5</definedName>
  </definedNames>
  <calcPr fullCalcOnLoad="1"/>
</workbook>
</file>

<file path=xl/sharedStrings.xml><?xml version="1.0" encoding="utf-8"?>
<sst xmlns="http://schemas.openxmlformats.org/spreadsheetml/2006/main" count="888" uniqueCount="384">
  <si>
    <t>£</t>
  </si>
  <si>
    <t>Total Income</t>
  </si>
  <si>
    <t>Income:</t>
  </si>
  <si>
    <t>Total Visits</t>
  </si>
  <si>
    <t>Total Expenditure</t>
  </si>
  <si>
    <t>Staffing Costs</t>
  </si>
  <si>
    <t>Number of Visits per annum:</t>
  </si>
  <si>
    <t>Printing, Postage and Stationery</t>
  </si>
  <si>
    <t>Telephones</t>
  </si>
  <si>
    <t>Grounds Maintenance</t>
  </si>
  <si>
    <t xml:space="preserve"> </t>
  </si>
  <si>
    <t>Irrecoverable VAT</t>
  </si>
  <si>
    <t>AMENDMENT TO BASE PLAN</t>
  </si>
  <si>
    <t>YEAR 1</t>
  </si>
  <si>
    <t>YEAR 5</t>
  </si>
  <si>
    <t>Base Plan</t>
  </si>
  <si>
    <t>EXPENDITURE (£)</t>
  </si>
  <si>
    <t>NET POSITION  (£)</t>
  </si>
  <si>
    <t>VARIANCE</t>
  </si>
  <si>
    <t>YEAR 2</t>
  </si>
  <si>
    <t>YEAR 3</t>
  </si>
  <si>
    <t>YEAR 4</t>
  </si>
  <si>
    <t>FINANCIAL AND USAGE SUMMARY</t>
  </si>
  <si>
    <t>Rentals</t>
  </si>
  <si>
    <t>Health and Fitness</t>
  </si>
  <si>
    <t>Income per visit (£)</t>
  </si>
  <si>
    <t>STAFFING COSTS</t>
  </si>
  <si>
    <t>FINANCIAL SUMMARY</t>
  </si>
  <si>
    <t>USAGE SUMMARY</t>
  </si>
  <si>
    <t>Membership Income - Couple</t>
  </si>
  <si>
    <t>TOTAL INCOME</t>
  </si>
  <si>
    <t>INCOME</t>
  </si>
  <si>
    <t>USAGE</t>
  </si>
  <si>
    <t>PREMISES</t>
  </si>
  <si>
    <t>OTHER COSTS</t>
  </si>
  <si>
    <t>Salaries and Wages</t>
  </si>
  <si>
    <t>Life-Cycle Costs</t>
  </si>
  <si>
    <t>ADVERTISING AND MARKETING</t>
  </si>
  <si>
    <t>ADMINISTRATION</t>
  </si>
  <si>
    <t>Insurances</t>
  </si>
  <si>
    <t>Other Supplies and Sundry Items</t>
  </si>
  <si>
    <t>Central Costs</t>
  </si>
  <si>
    <t>Contingency / Profit</t>
  </si>
  <si>
    <t>Other Administration</t>
  </si>
  <si>
    <t>OTHER SUPPLIES AND SUNDRY ITEMS</t>
  </si>
  <si>
    <t>VAT</t>
  </si>
  <si>
    <t>VAT Rates:</t>
  </si>
  <si>
    <t>Advertising and Marketing</t>
  </si>
  <si>
    <t>Costs of Sales</t>
  </si>
  <si>
    <t>VAT Payable:</t>
  </si>
  <si>
    <t>Total VAT Payable</t>
  </si>
  <si>
    <t>Irrecoverable VAT:</t>
  </si>
  <si>
    <t>Total Irrecoverable VAT</t>
  </si>
  <si>
    <t>Prepared by :</t>
  </si>
  <si>
    <t>Approved by :</t>
  </si>
  <si>
    <t>INCOME (£)</t>
  </si>
  <si>
    <t>SENSITIVITIES &amp; KEY PERFORMANCE INDICATORS</t>
  </si>
  <si>
    <t>Total</t>
  </si>
  <si>
    <t>EXPENDITURE</t>
  </si>
  <si>
    <t>Administration</t>
  </si>
  <si>
    <t>YEARS</t>
  </si>
  <si>
    <t>Café</t>
  </si>
  <si>
    <t>Advertising &amp; Marketing</t>
  </si>
  <si>
    <t>Other supplies and sundry items</t>
  </si>
  <si>
    <t>Increased Income (%)</t>
  </si>
  <si>
    <t>Reduced Income (%)</t>
  </si>
  <si>
    <t>Increased Expenditure (%)</t>
  </si>
  <si>
    <t>Reduced Expenditure (%)</t>
  </si>
  <si>
    <t>Increased Staff Costs (%)</t>
  </si>
  <si>
    <t>Reduced Staff Costs (%)</t>
  </si>
  <si>
    <t>Year</t>
  </si>
  <si>
    <t>Supplies and Sundry items</t>
  </si>
  <si>
    <t>Other costs</t>
  </si>
  <si>
    <t>excluding life-cycle costs</t>
  </si>
  <si>
    <t>Other Indicators</t>
  </si>
  <si>
    <t>Total visits</t>
  </si>
  <si>
    <t>Increased Insurance Costs (%)</t>
  </si>
  <si>
    <t>Decreased Insurance Costs (%)</t>
  </si>
  <si>
    <t>Costs as a % of Total Income</t>
  </si>
  <si>
    <t>Percentage Operational Recovery</t>
  </si>
  <si>
    <t>Income and expenditure analysis over the first five years</t>
  </si>
  <si>
    <t>Contents</t>
  </si>
  <si>
    <t>SUMMARIES</t>
  </si>
  <si>
    <t>Pg 1</t>
  </si>
  <si>
    <t>Financial Summary (1)</t>
  </si>
  <si>
    <t>Pg 2</t>
  </si>
  <si>
    <t>Financial Summary (2)</t>
  </si>
  <si>
    <t>Pg 3</t>
  </si>
  <si>
    <t>Growth profile</t>
  </si>
  <si>
    <t>The financial projections contained in this model rely on information provided by the client and by operators of similar facilities and should be read in conjunction with the stated assumptions.  In no way does FMG Consulting Ltd guarantee or otherwise warrant achievability of the projections of usage and cashflow as they are predictions of future events.  Actual results will be dependent on a number of factors such as the quality of management and market sustainability.</t>
  </si>
  <si>
    <t>INPUT FLAGS</t>
  </si>
  <si>
    <t>Outdoor Activities</t>
  </si>
  <si>
    <t>Retail and Catering</t>
  </si>
  <si>
    <t>NNDR Rate</t>
  </si>
  <si>
    <t>Private Sector</t>
  </si>
  <si>
    <t>Hybrid Trust</t>
  </si>
  <si>
    <t>Yes</t>
  </si>
  <si>
    <t>No</t>
  </si>
  <si>
    <t>Expenditure as % of income</t>
  </si>
  <si>
    <t>Income</t>
  </si>
  <si>
    <t>Totals</t>
  </si>
  <si>
    <t>Central Costs, Overheads and Profit</t>
  </si>
  <si>
    <t>VAT Rate on Income</t>
  </si>
  <si>
    <t>Other Supplies and Services</t>
  </si>
  <si>
    <t>Central costs, overheads and profit</t>
  </si>
  <si>
    <t>General</t>
  </si>
  <si>
    <t>Cost of Sales - Secondary Income</t>
  </si>
  <si>
    <t>Advertising and marketing</t>
  </si>
  <si>
    <t>NET OPERATING COST/(SURPLUS)</t>
  </si>
  <si>
    <t>Year 1</t>
  </si>
  <si>
    <t>Year 2</t>
  </si>
  <si>
    <t>Year 3</t>
  </si>
  <si>
    <t>Year 4</t>
  </si>
  <si>
    <t>Year 5</t>
  </si>
  <si>
    <t>Inflation (Compounded)</t>
  </si>
  <si>
    <t>Rate in £</t>
  </si>
  <si>
    <t>Equipment Sinking Funds</t>
  </si>
  <si>
    <t>`</t>
  </si>
  <si>
    <t>In-House</t>
  </si>
  <si>
    <t>VAT Rate on Expenditure</t>
  </si>
  <si>
    <t>VAT Recovery Rate:</t>
  </si>
  <si>
    <t>Current Cost of FF&amp;E</t>
  </si>
  <si>
    <t>EQUIPMENT REPLACEMENT</t>
  </si>
  <si>
    <t>Unit Price</t>
  </si>
  <si>
    <t>Expected Life</t>
  </si>
  <si>
    <t>Engage Treadmill</t>
  </si>
  <si>
    <t>IFI Treadmill</t>
  </si>
  <si>
    <t>Engage Cross Trainer</t>
  </si>
  <si>
    <t>Engage Upright Bike</t>
  </si>
  <si>
    <t>IFI Upright Bike</t>
  </si>
  <si>
    <t>Engage Recumbant Bike</t>
  </si>
  <si>
    <t>IFI Recumbant Bike</t>
  </si>
  <si>
    <t>Summit Trainer</t>
  </si>
  <si>
    <t>Concept II Rower</t>
  </si>
  <si>
    <t>Spin bikes</t>
  </si>
  <si>
    <t>Powerplate</t>
  </si>
  <si>
    <t>Seated Leg Curl</t>
  </si>
  <si>
    <t>Leg Extension</t>
  </si>
  <si>
    <t>Chest Press</t>
  </si>
  <si>
    <t>Pull down</t>
  </si>
  <si>
    <t>Seated Row</t>
  </si>
  <si>
    <t>Shoulder Press</t>
  </si>
  <si>
    <t>Leg Press</t>
  </si>
  <si>
    <t>Ab Crunch</t>
  </si>
  <si>
    <t>Bench</t>
  </si>
  <si>
    <t>Cable Motion</t>
  </si>
  <si>
    <t>Dumb-bell Rack</t>
  </si>
  <si>
    <t>Dumb-bells and free weights</t>
  </si>
  <si>
    <t>Medicine Ball rack and balls</t>
  </si>
  <si>
    <t>Stretch mats</t>
  </si>
  <si>
    <t>Cardio Theatre</t>
  </si>
  <si>
    <t>52" TVs &amp; Brackets</t>
  </si>
  <si>
    <t>Water Cooler</t>
  </si>
  <si>
    <t>Reception desk</t>
  </si>
  <si>
    <t>Chairs / sofa</t>
  </si>
  <si>
    <t>Fitness test equipment (software)</t>
  </si>
  <si>
    <t>Fitness Room Branding / outfit</t>
  </si>
  <si>
    <t>Body Pump Equipment</t>
  </si>
  <si>
    <t>Step Set</t>
  </si>
  <si>
    <t>Stereo System - studio</t>
  </si>
  <si>
    <t>Stereo System - spin</t>
  </si>
  <si>
    <t>Yoga Mats 14mm</t>
  </si>
  <si>
    <t>ETM Mats 14mm</t>
  </si>
  <si>
    <t>Dumbell Set and rack</t>
  </si>
  <si>
    <t>Kitchen Equipment</t>
  </si>
  <si>
    <t>Crockery / Cultery</t>
  </si>
  <si>
    <t>Tables &amp; Chairs</t>
  </si>
  <si>
    <t>PCs with Office</t>
  </si>
  <si>
    <t>Stationery Cupboard</t>
  </si>
  <si>
    <t>Safe 10K</t>
  </si>
  <si>
    <t>Directional signage &amp; notice boards</t>
  </si>
  <si>
    <t>Desks</t>
  </si>
  <si>
    <t>Chairs</t>
  </si>
  <si>
    <t>Reception Chairs</t>
  </si>
  <si>
    <t>Filing Cabinets</t>
  </si>
  <si>
    <t>Laminator</t>
  </si>
  <si>
    <t>Fire Fighting Equipment</t>
  </si>
  <si>
    <t>Vacuum cleaners</t>
  </si>
  <si>
    <t>Wet Vac</t>
  </si>
  <si>
    <t>Ladder</t>
  </si>
  <si>
    <t>Internal bins</t>
  </si>
  <si>
    <t>First aid bench and supplies</t>
  </si>
  <si>
    <t>De-fib kit</t>
  </si>
  <si>
    <t>Other First Aid Supplies</t>
  </si>
  <si>
    <t>Wall mounted Baby Change (for changing areas)</t>
  </si>
  <si>
    <t>MRM software</t>
  </si>
  <si>
    <t>PC hardware</t>
  </si>
  <si>
    <t>Non-PC hardware</t>
  </si>
  <si>
    <t>Card authorisation hardware / software</t>
  </si>
  <si>
    <t>Web bookings</t>
  </si>
  <si>
    <t>MRM prospecting</t>
  </si>
  <si>
    <t>Business continuity</t>
  </si>
  <si>
    <t>MRM kiosk</t>
  </si>
  <si>
    <t>Set-up and other software</t>
  </si>
  <si>
    <t>Telephone system</t>
  </si>
  <si>
    <t>Total replacement value over Contract</t>
  </si>
  <si>
    <t>Initial Capital Cost</t>
  </si>
  <si>
    <t>Years</t>
  </si>
  <si>
    <t>Quantity Purchased</t>
  </si>
  <si>
    <t>Replace in Contract Factor</t>
  </si>
  <si>
    <t>Contract Period</t>
  </si>
  <si>
    <t>Area</t>
  </si>
  <si>
    <t>ICT</t>
  </si>
  <si>
    <t>Studio</t>
  </si>
  <si>
    <t xml:space="preserve">Fitness - CV </t>
  </si>
  <si>
    <t>Fitness - Resistence</t>
  </si>
  <si>
    <t>Fitness - General</t>
  </si>
  <si>
    <t>Equipment</t>
  </si>
  <si>
    <t>Sensitivities (3)</t>
  </si>
  <si>
    <t>Capital    Cost</t>
  </si>
  <si>
    <t>Include in Initial Capex</t>
  </si>
  <si>
    <t>CV Equipment</t>
  </si>
  <si>
    <t>Resistence Equipment</t>
  </si>
  <si>
    <t>Total Number of Fitness Stations</t>
  </si>
  <si>
    <t>Fitness General</t>
  </si>
  <si>
    <t>Dance Studio</t>
  </si>
  <si>
    <t>Insurance</t>
  </si>
  <si>
    <t>Administration Costs</t>
  </si>
  <si>
    <t>Licences</t>
  </si>
  <si>
    <t>Legal, Audit &amp; Stocktaking</t>
  </si>
  <si>
    <t>Credit Charges</t>
  </si>
  <si>
    <t>Bank Charges</t>
  </si>
  <si>
    <t>Admin and Finance</t>
  </si>
  <si>
    <t>Other</t>
  </si>
  <si>
    <t>Annual Operating Costs</t>
  </si>
  <si>
    <t>Andy Farr</t>
  </si>
  <si>
    <t>Annual provision if all fitness kit provided separately</t>
  </si>
  <si>
    <t>line marking machine</t>
  </si>
  <si>
    <t>corner flags (sets of 4)</t>
  </si>
  <si>
    <t>team shelters (main pitch only)</t>
  </si>
  <si>
    <t>goalposts (per set)</t>
  </si>
  <si>
    <t>goal nets (per set of 2)</t>
  </si>
  <si>
    <t>STP pitch divider system</t>
  </si>
  <si>
    <t>Aerator</t>
  </si>
  <si>
    <t>Blower / vacuum</t>
  </si>
  <si>
    <t>brushcutter</t>
  </si>
  <si>
    <t>Chainsaw</t>
  </si>
  <si>
    <t>Rotary Cultivator</t>
  </si>
  <si>
    <t>Hedgetrimmers</t>
  </si>
  <si>
    <t>tractor-mounted mower</t>
  </si>
  <si>
    <t>Handheld mower</t>
  </si>
  <si>
    <t>Scarifier</t>
  </si>
  <si>
    <t>Seeder</t>
  </si>
  <si>
    <t>Sprayers</t>
  </si>
  <si>
    <t>sweeper</t>
  </si>
  <si>
    <t>top dresser</t>
  </si>
  <si>
    <t xml:space="preserve">tractor </t>
  </si>
  <si>
    <t>Misc additional tools</t>
  </si>
  <si>
    <t>Floodlight bulbs - STP (per annum cost)</t>
  </si>
  <si>
    <t>Floodlight bulbs - 5-a-side courts (per annum cost)</t>
  </si>
  <si>
    <t>Pg 4 +</t>
  </si>
  <si>
    <t>Working papers</t>
  </si>
  <si>
    <t>-</t>
  </si>
  <si>
    <t>- subject to more detailed VAT advice.</t>
  </si>
  <si>
    <t>- currently based on level of standard rated income in model</t>
  </si>
  <si>
    <t>Contingency / profit &amp; central costs</t>
  </si>
  <si>
    <t>Profit &amp; Central Costs</t>
  </si>
  <si>
    <t>NET OPERATING COST/(SURPLUS) EXCL. LIFECYCLE</t>
  </si>
  <si>
    <t>NET INCOME PER YEAR      (£)</t>
  </si>
  <si>
    <t>YEAR 6</t>
  </si>
  <si>
    <t>YEAR 7</t>
  </si>
  <si>
    <t>YEAR 8</t>
  </si>
  <si>
    <t>YEAR 9</t>
  </si>
  <si>
    <t>YEAR 10</t>
  </si>
  <si>
    <t>AVERAGE (£)</t>
  </si>
  <si>
    <t>AVERAGE</t>
  </si>
  <si>
    <t>Year 6</t>
  </si>
  <si>
    <t>Year 7</t>
  </si>
  <si>
    <t>Year 8</t>
  </si>
  <si>
    <t>Year 9</t>
  </si>
  <si>
    <t>Year 10</t>
  </si>
  <si>
    <t>Type of Use/User</t>
  </si>
  <si>
    <t>Hire Hours per Week</t>
  </si>
  <si>
    <t xml:space="preserve">Price per Hour </t>
  </si>
  <si>
    <t>Weeks per Year</t>
  </si>
  <si>
    <t>Net Income per Year</t>
  </si>
  <si>
    <t>Room Hire</t>
  </si>
  <si>
    <t>Total Cost</t>
  </si>
  <si>
    <t>Number of Artificial Grass Pitches</t>
  </si>
  <si>
    <t>Staffing</t>
  </si>
  <si>
    <t>Marketing</t>
  </si>
  <si>
    <t>Admin</t>
  </si>
  <si>
    <t>OHP</t>
  </si>
  <si>
    <t>Pre-Opening Costs</t>
  </si>
  <si>
    <t>Net Operating Cost/(Surplus)</t>
  </si>
  <si>
    <t>All £</t>
  </si>
  <si>
    <t>Pre Opening Costs</t>
  </si>
  <si>
    <t>Term</t>
  </si>
  <si>
    <t>Annual Provision</t>
  </si>
  <si>
    <t>Outdoor Pitches</t>
  </si>
  <si>
    <t>Lifecycle for Premises Costs</t>
  </si>
  <si>
    <t>K Godden</t>
  </si>
  <si>
    <t>England Hockey</t>
  </si>
  <si>
    <t>Adult Male</t>
  </si>
  <si>
    <t>Adult Female</t>
  </si>
  <si>
    <t>Junior Male</t>
  </si>
  <si>
    <t>Junior Female</t>
  </si>
  <si>
    <t>Social</t>
  </si>
  <si>
    <t>Annual Subscription Fee (£)</t>
  </si>
  <si>
    <t>Proportion of Members</t>
  </si>
  <si>
    <t>Members in Year 1</t>
  </si>
  <si>
    <t>Total Members in Year 1</t>
  </si>
  <si>
    <t>Number of Members</t>
  </si>
  <si>
    <t>Subscription Fee Income</t>
  </si>
  <si>
    <t>Number of Teams</t>
  </si>
  <si>
    <t>Club Subscriptions</t>
  </si>
  <si>
    <t>general coaching aids etc.</t>
  </si>
  <si>
    <t>Home Games per Season</t>
  </si>
  <si>
    <t>Players per Team</t>
  </si>
  <si>
    <t>Visits per Season (including away team)</t>
  </si>
  <si>
    <t>TOTAL VISITS</t>
  </si>
  <si>
    <t>Match Fees</t>
  </si>
  <si>
    <t>Match Fees (£)</t>
  </si>
  <si>
    <t>Officials per Team</t>
  </si>
  <si>
    <t>Match Fee Income per Annum (£)</t>
  </si>
  <si>
    <t>Match Fee Income</t>
  </si>
  <si>
    <t xml:space="preserve">Adult Players </t>
  </si>
  <si>
    <t>TRAINING FEES</t>
  </si>
  <si>
    <t>TRAINING VISITS PER ANNUM</t>
  </si>
  <si>
    <t xml:space="preserve">Junior Players </t>
  </si>
  <si>
    <t>GROSS COST PER UNIT (£)</t>
  </si>
  <si>
    <t>Adult Males</t>
  </si>
  <si>
    <t>Adult Females</t>
  </si>
  <si>
    <t>Junior Males</t>
  </si>
  <si>
    <t>Junior Females</t>
  </si>
  <si>
    <t>TOTAL MATCH DAY VISITS (Excluding Training)</t>
  </si>
  <si>
    <t>Match Day Visits</t>
  </si>
  <si>
    <t>SUBSCRIPTION INCOME</t>
  </si>
  <si>
    <t>Playing Fees</t>
  </si>
  <si>
    <t>Affiliation Fees</t>
  </si>
  <si>
    <t>League Entry Fees</t>
  </si>
  <si>
    <t>Cups Entry Fees</t>
  </si>
  <si>
    <t>Playing Fees (Entry Fees and Affiliation)</t>
  </si>
  <si>
    <t>Hockey</t>
  </si>
  <si>
    <t>Hockey Sticks</t>
  </si>
  <si>
    <t>Hockey Balls</t>
  </si>
  <si>
    <t>Training Equipment</t>
  </si>
  <si>
    <t>Cost per Hour</t>
  </si>
  <si>
    <t>Café/Bar</t>
  </si>
  <si>
    <t>Goalkeeping Equipment</t>
  </si>
  <si>
    <t>Transport Reimbursement for Teams</t>
  </si>
  <si>
    <t>Per Week</t>
  </si>
  <si>
    <t>Number of Paid Coaching Hours</t>
  </si>
  <si>
    <t>Number of Paid Holiday Coaching Hours</t>
  </si>
  <si>
    <t>Club Sponsorship</t>
  </si>
  <si>
    <t>Club Donations</t>
  </si>
  <si>
    <t>Subscriptions and Donations</t>
  </si>
  <si>
    <t>Sponsorship and Donations</t>
  </si>
  <si>
    <t>Sponsorship</t>
  </si>
  <si>
    <t>TRAINING FEES ASSUMED IN MATCH FEE %</t>
  </si>
  <si>
    <t>Business Plan Notes</t>
  </si>
  <si>
    <t>Non-Asset Owning Club</t>
  </si>
  <si>
    <t>TRAINING WEEKS A YEAR</t>
  </si>
  <si>
    <t>TRAINING VISITS PER WEEK</t>
  </si>
  <si>
    <t>Training Income</t>
  </si>
  <si>
    <t>TOTAL TRAINING VISITS</t>
  </si>
  <si>
    <t>Full Size AGP Match Day</t>
  </si>
  <si>
    <t>Half Pitch AGP</t>
  </si>
  <si>
    <t>Juniors</t>
  </si>
  <si>
    <t>Quarter</t>
  </si>
  <si>
    <t>Location</t>
  </si>
  <si>
    <t>Adults/Juniors</t>
  </si>
  <si>
    <t>TOTAL PITCH HIRE COST</t>
  </si>
  <si>
    <t>£15 per quarter</t>
  </si>
  <si>
    <t>Training Hire Peak</t>
  </si>
  <si>
    <t>Training Hire Off Peak</t>
  </si>
  <si>
    <t>£10 per quarter</t>
  </si>
  <si>
    <t>AGP HIRE</t>
  </si>
  <si>
    <t>Training Fees</t>
  </si>
  <si>
    <t>CLUB INCOME</t>
  </si>
  <si>
    <t>Number of Matches for Umpires</t>
  </si>
  <si>
    <t>Linked to Club, can be manually inputed</t>
  </si>
  <si>
    <t>Cost per Match</t>
  </si>
  <si>
    <t>Coaching and Umpire Fees</t>
  </si>
  <si>
    <t>Coaching and Umpire Costs</t>
  </si>
  <si>
    <t>Social Nights</t>
  </si>
  <si>
    <t>Dinner and Dance</t>
  </si>
  <si>
    <t>Club Nights</t>
  </si>
  <si>
    <t>Entertainment</t>
  </si>
  <si>
    <t>AGP Hire</t>
  </si>
  <si>
    <t>Equipment Lifecycle</t>
  </si>
  <si>
    <t>Training Visits</t>
  </si>
  <si>
    <t>Charitable Trust (inc. CASC)</t>
  </si>
  <si>
    <t>Opposition teas and room hire for club events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</si>
</sst>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00"/>
    <numFmt numFmtId="167" formatCode="&quot;£&quot;#,##0"/>
    <numFmt numFmtId="168" formatCode="0.0"/>
    <numFmt numFmtId="169" formatCode="_-* #,##0.0_-;\-* #,##0.0_-;_-* &quot;-&quot;??_-;_-@_-"/>
    <numFmt numFmtId="170" formatCode="0.0%"/>
    <numFmt numFmtId="171" formatCode="#,##0.0"/>
    <numFmt numFmtId="172" formatCode="#,##0_ ;[Red]\-#,##0\ "/>
    <numFmt numFmtId="173" formatCode="mmmm\ d\,\ yyyy"/>
    <numFmt numFmtId="174" formatCode="#,##0;[Red]\(#,##0\);\-"/>
    <numFmt numFmtId="175" formatCode="#,##0_ ;\-#,##0\ "/>
    <numFmt numFmtId="176" formatCode="0.00;[Red]\(0.00\);\-_0_)"/>
    <numFmt numFmtId="177" formatCode="#,##0;\(#,##0\)"/>
    <numFmt numFmtId="178" formatCode="#,###;[Red]\(#,###\)"/>
    <numFmt numFmtId="179" formatCode="#,##0.00_ ;[Red]\-#,##0.00\ "/>
    <numFmt numFmtId="180" formatCode="[$-809]dd\ mmmm\ yyyy"/>
    <numFmt numFmtId="181" formatCode="&quot;£&quot;#,##0.0"/>
    <numFmt numFmtId="182" formatCode="&quot;Yes&quot;;&quot;Yes&quot;;&quot;No&quot;"/>
    <numFmt numFmtId="183" formatCode="&quot;True&quot;;&quot;True&quot;;&quot;False&quot;"/>
    <numFmt numFmtId="184" formatCode="&quot;On&quot;;&quot;On&quot;;&quot;Off&quot;"/>
    <numFmt numFmtId="185" formatCode="[$€-2]\ #,##0.00_);[Red]\([$€-2]\ #,##0.00\)"/>
  </numFmts>
  <fonts count="86">
    <font>
      <sz val="10"/>
      <name val="Arial"/>
      <family val="2"/>
    </font>
    <font>
      <b/>
      <sz val="10"/>
      <name val="Arial"/>
      <family val="2"/>
    </font>
    <font>
      <u val="single"/>
      <sz val="10"/>
      <color indexed="12"/>
      <name val="Arial"/>
      <family val="2"/>
    </font>
    <font>
      <u val="single"/>
      <sz val="10"/>
      <color indexed="36"/>
      <name val="Arial"/>
      <family val="2"/>
    </font>
    <font>
      <sz val="8"/>
      <name val="Arial"/>
      <family val="2"/>
    </font>
    <font>
      <sz val="10"/>
      <name val="Trebuchet MS"/>
      <family val="2"/>
    </font>
    <font>
      <b/>
      <sz val="8"/>
      <name val="Arial"/>
      <family val="2"/>
    </font>
    <font>
      <sz val="10"/>
      <name val="Gill Sans MT"/>
      <family val="2"/>
    </font>
    <font>
      <i/>
      <sz val="8"/>
      <name val="Arial"/>
      <family val="2"/>
    </font>
    <font>
      <b/>
      <sz val="14"/>
      <name val="Arial"/>
      <family val="2"/>
    </font>
    <font>
      <b/>
      <sz val="12"/>
      <name val="Arial"/>
      <family val="2"/>
    </font>
    <font>
      <b/>
      <i/>
      <sz val="8"/>
      <name val="Arial"/>
      <family val="2"/>
    </font>
    <font>
      <b/>
      <sz val="28"/>
      <name val="Trebuchet MS"/>
      <family val="2"/>
    </font>
    <font>
      <b/>
      <sz val="14"/>
      <name val="Trebuchet MS"/>
      <family val="2"/>
    </font>
    <font>
      <sz val="18"/>
      <name val="Trebuchet MS"/>
      <family val="2"/>
    </font>
    <font>
      <sz val="14"/>
      <name val="Trebuchet MS"/>
      <family val="2"/>
    </font>
    <font>
      <sz val="24"/>
      <name val="Trebuchet MS"/>
      <family val="2"/>
    </font>
    <font>
      <b/>
      <u val="single"/>
      <sz val="16"/>
      <name val="Trebuchet MS"/>
      <family val="2"/>
    </font>
    <font>
      <b/>
      <u val="single"/>
      <sz val="14"/>
      <name val="Trebuchet MS"/>
      <family val="2"/>
    </font>
    <font>
      <sz val="12"/>
      <name val="Trebuchet MS"/>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56"/>
      <name val="Arial"/>
      <family val="2"/>
    </font>
    <font>
      <b/>
      <sz val="10"/>
      <color indexed="56"/>
      <name val="Arial"/>
      <family val="2"/>
    </font>
    <font>
      <b/>
      <u val="single"/>
      <sz val="10"/>
      <color indexed="56"/>
      <name val="Arial"/>
      <family val="2"/>
    </font>
    <font>
      <sz val="8"/>
      <color indexed="56"/>
      <name val="Arial"/>
      <family val="2"/>
    </font>
    <font>
      <b/>
      <sz val="8"/>
      <color indexed="56"/>
      <name val="Arial"/>
      <family val="2"/>
    </font>
    <font>
      <i/>
      <sz val="8"/>
      <color indexed="56"/>
      <name val="Arial"/>
      <family val="2"/>
    </font>
    <font>
      <b/>
      <i/>
      <sz val="8"/>
      <color indexed="56"/>
      <name val="Arial"/>
      <family val="2"/>
    </font>
    <font>
      <sz val="10"/>
      <color indexed="9"/>
      <name val="Arial"/>
      <family val="2"/>
    </font>
    <font>
      <b/>
      <sz val="10"/>
      <color indexed="9"/>
      <name val="Arial"/>
      <family val="2"/>
    </font>
    <font>
      <b/>
      <sz val="8"/>
      <color indexed="9"/>
      <name val="Arial"/>
      <family val="2"/>
    </font>
    <font>
      <sz val="8"/>
      <color indexed="9"/>
      <name val="Arial"/>
      <family val="2"/>
    </font>
    <font>
      <sz val="9.25"/>
      <color indexed="8"/>
      <name val="Arial"/>
      <family val="0"/>
    </font>
    <font>
      <sz val="15.5"/>
      <color indexed="8"/>
      <name val="Arial"/>
      <family val="0"/>
    </font>
    <font>
      <b/>
      <sz val="15.5"/>
      <color indexed="8"/>
      <name val="Arial"/>
      <family val="0"/>
    </font>
    <font>
      <b/>
      <sz val="12"/>
      <color indexed="8"/>
      <name val="Arial"/>
      <family val="0"/>
    </font>
    <font>
      <sz val="12.45"/>
      <color indexed="8"/>
      <name val="Arial"/>
      <family val="0"/>
    </font>
    <font>
      <sz val="5.25"/>
      <color indexed="8"/>
      <name val="Arial"/>
      <family val="0"/>
    </font>
    <font>
      <sz val="14.75"/>
      <color indexed="8"/>
      <name val="Arial"/>
      <family val="0"/>
    </font>
    <font>
      <b/>
      <sz val="15"/>
      <color indexed="8"/>
      <name val="Arial"/>
      <family val="0"/>
    </font>
    <font>
      <sz val="7.75"/>
      <color indexed="8"/>
      <name val="Arial"/>
      <family val="0"/>
    </font>
    <font>
      <sz val="14.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b/>
      <sz val="10"/>
      <color rgb="FF002060"/>
      <name val="Arial"/>
      <family val="2"/>
    </font>
    <font>
      <b/>
      <u val="single"/>
      <sz val="10"/>
      <color rgb="FF002060"/>
      <name val="Arial"/>
      <family val="2"/>
    </font>
    <font>
      <sz val="8"/>
      <color rgb="FF002060"/>
      <name val="Arial"/>
      <family val="2"/>
    </font>
    <font>
      <b/>
      <sz val="8"/>
      <color rgb="FF002060"/>
      <name val="Arial"/>
      <family val="2"/>
    </font>
    <font>
      <i/>
      <sz val="8"/>
      <color rgb="FF002060"/>
      <name val="Arial"/>
      <family val="2"/>
    </font>
    <font>
      <b/>
      <i/>
      <sz val="8"/>
      <color rgb="FF002060"/>
      <name val="Arial"/>
      <family val="2"/>
    </font>
    <font>
      <sz val="10"/>
      <color theme="0"/>
      <name val="Arial"/>
      <family val="2"/>
    </font>
    <font>
      <b/>
      <sz val="10"/>
      <color theme="0"/>
      <name val="Arial"/>
      <family val="2"/>
    </font>
    <font>
      <b/>
      <sz val="8"/>
      <color theme="0"/>
      <name val="Arial"/>
      <family val="2"/>
    </font>
    <font>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medium">
        <color indexed="20"/>
      </left>
      <right>
        <color indexed="63"/>
      </right>
      <top style="medium">
        <color indexed="20"/>
      </top>
      <bottom>
        <color indexed="63"/>
      </bottom>
    </border>
    <border>
      <left>
        <color indexed="63"/>
      </left>
      <right>
        <color indexed="63"/>
      </right>
      <top style="medium">
        <color indexed="20"/>
      </top>
      <bottom>
        <color indexed="63"/>
      </bottom>
    </border>
    <border>
      <left>
        <color indexed="63"/>
      </left>
      <right style="medium">
        <color indexed="20"/>
      </right>
      <top style="medium">
        <color indexed="20"/>
      </top>
      <bottom>
        <color indexed="63"/>
      </bottom>
    </border>
    <border>
      <left style="medium">
        <color indexed="20"/>
      </left>
      <right>
        <color indexed="63"/>
      </right>
      <top>
        <color indexed="63"/>
      </top>
      <bottom>
        <color indexed="63"/>
      </bottom>
    </border>
    <border>
      <left>
        <color indexed="63"/>
      </left>
      <right style="medium">
        <color indexed="20"/>
      </right>
      <top>
        <color indexed="63"/>
      </top>
      <bottom>
        <color indexed="63"/>
      </bottom>
    </border>
    <border>
      <left style="medium">
        <color indexed="20"/>
      </left>
      <right>
        <color indexed="63"/>
      </right>
      <top>
        <color indexed="63"/>
      </top>
      <bottom style="medium">
        <color indexed="20"/>
      </bottom>
    </border>
    <border>
      <left>
        <color indexed="63"/>
      </left>
      <right>
        <color indexed="63"/>
      </right>
      <top>
        <color indexed="63"/>
      </top>
      <bottom style="medium">
        <color indexed="20"/>
      </bottom>
    </border>
    <border>
      <left>
        <color indexed="63"/>
      </left>
      <right style="medium">
        <color indexed="20"/>
      </right>
      <top>
        <color indexed="63"/>
      </top>
      <bottom style="medium">
        <color indexed="20"/>
      </bottom>
    </border>
    <border>
      <left style="thin">
        <color indexed="20"/>
      </left>
      <right style="thin">
        <color indexed="20"/>
      </right>
      <top style="thin">
        <color indexed="20"/>
      </top>
      <bottom style="thin">
        <color indexed="20"/>
      </bottom>
    </border>
    <border>
      <left>
        <color indexed="63"/>
      </left>
      <right>
        <color indexed="63"/>
      </right>
      <top style="thin">
        <color indexed="20"/>
      </top>
      <bottom style="thin">
        <color indexed="20"/>
      </bottom>
    </border>
    <border>
      <left>
        <color indexed="63"/>
      </left>
      <right style="thin">
        <color indexed="20"/>
      </right>
      <top style="thin">
        <color indexed="20"/>
      </top>
      <bottom style="thin">
        <color indexed="20"/>
      </bottom>
    </border>
    <border>
      <left style="thin">
        <color indexed="20"/>
      </left>
      <right style="thin">
        <color indexed="20"/>
      </right>
      <top style="thin">
        <color indexed="20"/>
      </top>
      <bottom>
        <color indexed="63"/>
      </bottom>
    </border>
    <border>
      <left style="thin">
        <color indexed="20"/>
      </left>
      <right style="thin">
        <color indexed="20"/>
      </right>
      <top style="thin">
        <color rgb="FF002060"/>
      </top>
      <bottom style="thin">
        <color indexed="20"/>
      </bottom>
    </border>
    <border>
      <left>
        <color indexed="63"/>
      </left>
      <right>
        <color indexed="63"/>
      </right>
      <top style="thin"/>
      <bottom>
        <color indexed="63"/>
      </bottom>
    </border>
    <border>
      <left>
        <color indexed="63"/>
      </left>
      <right>
        <color indexed="63"/>
      </right>
      <top>
        <color indexed="63"/>
      </top>
      <bottom style="thin"/>
    </border>
    <border>
      <left style="thin">
        <color indexed="20"/>
      </left>
      <right>
        <color indexed="63"/>
      </right>
      <top style="thin">
        <color indexed="20"/>
      </top>
      <bottom style="thin">
        <color indexed="20"/>
      </bottom>
    </border>
    <border>
      <left style="thin">
        <color rgb="FF002060"/>
      </left>
      <right style="thin">
        <color rgb="FF002060"/>
      </right>
      <top style="thin">
        <color rgb="FF002060"/>
      </top>
      <bottom style="thin">
        <color rgb="FF002060"/>
      </bottom>
    </border>
    <border>
      <left>
        <color indexed="63"/>
      </left>
      <right>
        <color indexed="63"/>
      </right>
      <top style="thin"/>
      <bottom style="double"/>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color rgb="FF002060"/>
      </left>
      <right style="thin">
        <color rgb="FF002060"/>
      </right>
      <top>
        <color indexed="63"/>
      </top>
      <bottom style="thin">
        <color rgb="FF002060"/>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indexed="20"/>
      </left>
      <right style="thin">
        <color indexed="20"/>
      </right>
      <top style="thin">
        <color indexed="20"/>
      </top>
      <bottom style="thin"/>
    </border>
    <border>
      <left style="thin">
        <color indexed="20"/>
      </left>
      <right style="thin">
        <color indexed="20"/>
      </right>
      <top style="thin"/>
      <bottom style="thin">
        <color indexed="20"/>
      </bottom>
    </border>
    <border>
      <left style="thin">
        <color indexed="20"/>
      </left>
      <right style="thin">
        <color indexed="20"/>
      </right>
      <top>
        <color indexed="63"/>
      </top>
      <bottom style="thin">
        <color indexed="20"/>
      </bottom>
    </border>
    <border>
      <left>
        <color indexed="63"/>
      </left>
      <right style="thin">
        <color indexed="20"/>
      </right>
      <top>
        <color indexed="63"/>
      </top>
      <bottom style="thin">
        <color indexed="20"/>
      </bottom>
    </border>
    <border>
      <left style="thin">
        <color rgb="FF002060"/>
      </left>
      <right>
        <color indexed="63"/>
      </right>
      <top style="thin">
        <color rgb="FF002060"/>
      </top>
      <bottom style="thin">
        <color rgb="FF002060"/>
      </bottom>
    </border>
    <border>
      <left>
        <color indexed="63"/>
      </left>
      <right>
        <color indexed="63"/>
      </right>
      <top style="thin">
        <color rgb="FF002060"/>
      </top>
      <bottom style="thin">
        <color rgb="FF002060"/>
      </bottom>
    </border>
    <border>
      <left>
        <color indexed="63"/>
      </left>
      <right style="thin">
        <color rgb="FF002060"/>
      </right>
      <top style="thin">
        <color rgb="FF002060"/>
      </top>
      <bottom style="thin">
        <color rgb="FF002060"/>
      </bottom>
    </border>
    <border>
      <left>
        <color indexed="63"/>
      </left>
      <right>
        <color indexed="63"/>
      </right>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7"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2">
    <xf numFmtId="0" fontId="0" fillId="0" borderId="0" xfId="0" applyAlignment="1">
      <alignment/>
    </xf>
    <xf numFmtId="0" fontId="1" fillId="0" borderId="0" xfId="0" applyFont="1" applyAlignment="1">
      <alignment/>
    </xf>
    <xf numFmtId="0" fontId="6" fillId="0" borderId="0" xfId="0" applyFont="1" applyFill="1" applyBorder="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Alignment="1">
      <alignment horizontal="left"/>
    </xf>
    <xf numFmtId="0" fontId="4" fillId="0" borderId="0" xfId="0" applyFont="1" applyAlignment="1">
      <alignment horizontal="left"/>
    </xf>
    <xf numFmtId="3" fontId="4" fillId="0" borderId="0" xfId="0" applyNumberFormat="1" applyFont="1" applyAlignment="1">
      <alignment/>
    </xf>
    <xf numFmtId="0" fontId="0" fillId="0" borderId="0" xfId="0" applyFont="1" applyBorder="1" applyAlignment="1">
      <alignment/>
    </xf>
    <xf numFmtId="0" fontId="6" fillId="0" borderId="0" xfId="0" applyFont="1" applyAlignment="1">
      <alignment horizontal="left"/>
    </xf>
    <xf numFmtId="0" fontId="4" fillId="0" borderId="0" xfId="0" applyFont="1" applyAlignment="1">
      <alignment/>
    </xf>
    <xf numFmtId="0" fontId="4" fillId="0" borderId="0" xfId="0" applyFont="1" applyFill="1" applyBorder="1" applyAlignment="1">
      <alignment horizontal="left"/>
    </xf>
    <xf numFmtId="0" fontId="0" fillId="0" borderId="0" xfId="0" applyFont="1" applyFill="1" applyBorder="1" applyAlignment="1">
      <alignment/>
    </xf>
    <xf numFmtId="170" fontId="4" fillId="0" borderId="0" xfId="0" applyNumberFormat="1" applyFont="1" applyFill="1" applyBorder="1" applyAlignment="1">
      <alignment/>
    </xf>
    <xf numFmtId="170" fontId="4" fillId="0" borderId="0" xfId="0" applyNumberFormat="1" applyFont="1" applyFill="1" applyBorder="1" applyAlignment="1" quotePrefix="1">
      <alignment/>
    </xf>
    <xf numFmtId="0" fontId="4" fillId="0" borderId="0" xfId="0" applyFont="1" applyFill="1" applyBorder="1" applyAlignment="1">
      <alignment/>
    </xf>
    <xf numFmtId="9" fontId="4" fillId="0" borderId="0" xfId="0" applyNumberFormat="1" applyFont="1" applyFill="1" applyBorder="1" applyAlignment="1">
      <alignment horizontal="right"/>
    </xf>
    <xf numFmtId="3" fontId="4" fillId="0" borderId="10" xfId="0" applyNumberFormat="1" applyFont="1" applyFill="1" applyBorder="1" applyAlignment="1">
      <alignment/>
    </xf>
    <xf numFmtId="170" fontId="4" fillId="0" borderId="10" xfId="0" applyNumberFormat="1" applyFont="1" applyFill="1" applyBorder="1" applyAlignment="1">
      <alignment/>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9" fontId="4"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xf>
    <xf numFmtId="165" fontId="4" fillId="0" borderId="0" xfId="42" applyNumberFormat="1" applyFont="1" applyFill="1" applyBorder="1" applyAlignment="1">
      <alignment horizontal="center"/>
    </xf>
    <xf numFmtId="1" fontId="4" fillId="0" borderId="0" xfId="0" applyNumberFormat="1" applyFont="1" applyFill="1" applyBorder="1" applyAlignment="1">
      <alignment/>
    </xf>
    <xf numFmtId="3"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Alignment="1">
      <alignment horizontal="center"/>
    </xf>
    <xf numFmtId="0" fontId="4" fillId="0" borderId="0" xfId="0" applyFont="1" applyAlignment="1" quotePrefix="1">
      <alignment/>
    </xf>
    <xf numFmtId="0" fontId="6" fillId="0" borderId="0" xfId="0" applyFont="1" applyAlignment="1">
      <alignment/>
    </xf>
    <xf numFmtId="0" fontId="4" fillId="0" borderId="0" xfId="0" applyFont="1" applyAlignment="1">
      <alignment/>
    </xf>
    <xf numFmtId="0" fontId="4" fillId="0" borderId="0" xfId="0" applyFont="1" applyFill="1" applyBorder="1" applyAlignment="1">
      <alignment/>
    </xf>
    <xf numFmtId="0" fontId="6" fillId="0" borderId="0" xfId="0" applyFont="1" applyFill="1" applyBorder="1" applyAlignment="1">
      <alignment/>
    </xf>
    <xf numFmtId="0" fontId="6" fillId="0" borderId="0" xfId="0" applyFont="1" applyAlignment="1">
      <alignment/>
    </xf>
    <xf numFmtId="0" fontId="75" fillId="0" borderId="0" xfId="0" applyFont="1" applyFill="1" applyAlignment="1">
      <alignment/>
    </xf>
    <xf numFmtId="0" fontId="75" fillId="33" borderId="0" xfId="0" applyFont="1" applyFill="1" applyAlignment="1">
      <alignment/>
    </xf>
    <xf numFmtId="0" fontId="75" fillId="33" borderId="12" xfId="0" applyFont="1" applyFill="1" applyBorder="1" applyAlignment="1">
      <alignment/>
    </xf>
    <xf numFmtId="0" fontId="75" fillId="33" borderId="13" xfId="0" applyFont="1" applyFill="1" applyBorder="1" applyAlignment="1">
      <alignment/>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0" xfId="0" applyFont="1" applyFill="1" applyBorder="1" applyAlignment="1">
      <alignment horizontal="center" vertical="center"/>
    </xf>
    <xf numFmtId="0" fontId="75" fillId="33" borderId="15" xfId="0" applyFont="1" applyFill="1" applyBorder="1" applyAlignment="1">
      <alignment/>
    </xf>
    <xf numFmtId="0" fontId="76" fillId="33" borderId="0" xfId="0" applyFont="1" applyFill="1" applyBorder="1" applyAlignment="1">
      <alignment horizontal="center" vertical="center" wrapText="1"/>
    </xf>
    <xf numFmtId="0" fontId="75" fillId="0" borderId="0" xfId="0" applyFont="1" applyBorder="1" applyAlignment="1">
      <alignment horizontal="center" vertical="center" wrapText="1"/>
    </xf>
    <xf numFmtId="0" fontId="76" fillId="33" borderId="16" xfId="0" applyFont="1" applyFill="1" applyBorder="1" applyAlignment="1">
      <alignment horizontal="center" vertical="center"/>
    </xf>
    <xf numFmtId="0" fontId="75" fillId="33" borderId="0" xfId="0" applyFont="1" applyFill="1" applyBorder="1" applyAlignment="1">
      <alignment/>
    </xf>
    <xf numFmtId="0" fontId="75" fillId="33" borderId="16" xfId="0" applyFont="1" applyFill="1" applyBorder="1" applyAlignment="1">
      <alignment/>
    </xf>
    <xf numFmtId="0" fontId="75" fillId="0" borderId="0" xfId="0" applyFont="1" applyAlignment="1">
      <alignment horizontal="left"/>
    </xf>
    <xf numFmtId="9" fontId="75" fillId="33" borderId="0" xfId="0" applyNumberFormat="1" applyFont="1" applyFill="1" applyBorder="1" applyAlignment="1">
      <alignment/>
    </xf>
    <xf numFmtId="0" fontId="75" fillId="0" borderId="13" xfId="0" applyFont="1" applyBorder="1" applyAlignment="1">
      <alignment horizontal="left"/>
    </xf>
    <xf numFmtId="9" fontId="75" fillId="33" borderId="13" xfId="0" applyNumberFormat="1" applyFont="1" applyFill="1" applyBorder="1" applyAlignment="1">
      <alignment/>
    </xf>
    <xf numFmtId="0" fontId="75" fillId="33" borderId="14" xfId="0" applyFont="1" applyFill="1" applyBorder="1" applyAlignment="1">
      <alignment/>
    </xf>
    <xf numFmtId="0" fontId="75" fillId="33" borderId="0" xfId="0" applyFont="1" applyFill="1" applyBorder="1" applyAlignment="1">
      <alignment horizontal="left"/>
    </xf>
    <xf numFmtId="0" fontId="75" fillId="0" borderId="13" xfId="0" applyFont="1" applyFill="1" applyBorder="1" applyAlignment="1">
      <alignment horizontal="left"/>
    </xf>
    <xf numFmtId="3" fontId="75" fillId="33" borderId="0" xfId="0" applyNumberFormat="1" applyFont="1" applyFill="1" applyAlignment="1">
      <alignment/>
    </xf>
    <xf numFmtId="172" fontId="75" fillId="33" borderId="0" xfId="0" applyNumberFormat="1" applyFont="1" applyFill="1" applyBorder="1" applyAlignment="1">
      <alignment/>
    </xf>
    <xf numFmtId="0" fontId="75" fillId="33" borderId="17" xfId="0" applyFont="1" applyFill="1" applyBorder="1" applyAlignment="1">
      <alignment/>
    </xf>
    <xf numFmtId="0" fontId="75" fillId="33" borderId="18" xfId="0" applyFont="1" applyFill="1" applyBorder="1" applyAlignment="1">
      <alignment/>
    </xf>
    <xf numFmtId="0" fontId="75" fillId="33" borderId="19" xfId="0" applyFont="1" applyFill="1" applyBorder="1" applyAlignment="1">
      <alignment/>
    </xf>
    <xf numFmtId="0" fontId="76" fillId="0" borderId="13" xfId="0" applyFont="1" applyBorder="1" applyAlignment="1">
      <alignment horizontal="left"/>
    </xf>
    <xf numFmtId="0" fontId="76" fillId="0" borderId="20" xfId="0" applyFont="1" applyFill="1" applyBorder="1" applyAlignment="1">
      <alignment horizontal="left"/>
    </xf>
    <xf numFmtId="0" fontId="76" fillId="0" borderId="0" xfId="0" applyFont="1" applyFill="1" applyBorder="1" applyAlignment="1">
      <alignment horizontal="left"/>
    </xf>
    <xf numFmtId="0" fontId="75" fillId="0" borderId="21" xfId="0" applyFont="1" applyFill="1" applyBorder="1" applyAlignment="1">
      <alignment/>
    </xf>
    <xf numFmtId="0" fontId="75" fillId="0" borderId="0" xfId="0" applyFont="1" applyFill="1" applyBorder="1" applyAlignment="1">
      <alignment/>
    </xf>
    <xf numFmtId="3" fontId="75" fillId="33" borderId="20" xfId="0" applyNumberFormat="1" applyFont="1" applyFill="1" applyBorder="1" applyAlignment="1">
      <alignment/>
    </xf>
    <xf numFmtId="0" fontId="75" fillId="0" borderId="0" xfId="0" applyFont="1" applyBorder="1" applyAlignment="1">
      <alignment horizontal="left"/>
    </xf>
    <xf numFmtId="0" fontId="76" fillId="0" borderId="20" xfId="0" applyFont="1" applyBorder="1" applyAlignment="1">
      <alignment horizontal="left"/>
    </xf>
    <xf numFmtId="3" fontId="75" fillId="33" borderId="0" xfId="0" applyNumberFormat="1" applyFont="1" applyFill="1" applyBorder="1" applyAlignment="1">
      <alignment/>
    </xf>
    <xf numFmtId="0" fontId="75" fillId="0" borderId="18" xfId="0" applyFont="1" applyBorder="1" applyAlignment="1">
      <alignment horizontal="left"/>
    </xf>
    <xf numFmtId="0" fontId="76" fillId="33" borderId="0" xfId="0" applyFont="1" applyFill="1" applyBorder="1" applyAlignment="1">
      <alignment horizontal="left"/>
    </xf>
    <xf numFmtId="0" fontId="75" fillId="33" borderId="0" xfId="0" applyFont="1" applyFill="1" applyBorder="1" applyAlignment="1" quotePrefix="1">
      <alignment horizontal="left"/>
    </xf>
    <xf numFmtId="0" fontId="75" fillId="0" borderId="18" xfId="0" applyFont="1" applyFill="1" applyBorder="1" applyAlignment="1">
      <alignment horizontal="left"/>
    </xf>
    <xf numFmtId="0" fontId="75" fillId="0" borderId="0" xfId="0" applyFont="1" applyFill="1" applyBorder="1" applyAlignment="1">
      <alignment horizontal="left"/>
    </xf>
    <xf numFmtId="0" fontId="75" fillId="0" borderId="20" xfId="0" applyFont="1" applyFill="1" applyBorder="1" applyAlignment="1">
      <alignment horizontal="left" vertical="center" wrapText="1"/>
    </xf>
    <xf numFmtId="172" fontId="75" fillId="0" borderId="20" xfId="0" applyNumberFormat="1" applyFont="1" applyFill="1" applyBorder="1" applyAlignment="1">
      <alignment/>
    </xf>
    <xf numFmtId="0" fontId="76" fillId="0" borderId="0" xfId="0" applyFont="1" applyFill="1" applyBorder="1" applyAlignment="1">
      <alignment horizontal="center" vertical="center" wrapText="1"/>
    </xf>
    <xf numFmtId="0" fontId="76" fillId="33" borderId="20" xfId="0" applyFont="1" applyFill="1" applyBorder="1" applyAlignment="1">
      <alignment/>
    </xf>
    <xf numFmtId="3" fontId="76" fillId="33" borderId="22" xfId="0" applyNumberFormat="1" applyFont="1" applyFill="1" applyBorder="1" applyAlignment="1">
      <alignment/>
    </xf>
    <xf numFmtId="3" fontId="76" fillId="33" borderId="0" xfId="0" applyNumberFormat="1" applyFont="1" applyFill="1" applyBorder="1" applyAlignment="1">
      <alignment/>
    </xf>
    <xf numFmtId="3" fontId="75" fillId="33" borderId="23" xfId="0" applyNumberFormat="1" applyFont="1" applyFill="1" applyBorder="1" applyAlignment="1">
      <alignment/>
    </xf>
    <xf numFmtId="3" fontId="75" fillId="33" borderId="24" xfId="0" applyNumberFormat="1" applyFont="1" applyFill="1" applyBorder="1" applyAlignment="1">
      <alignment/>
    </xf>
    <xf numFmtId="0" fontId="75" fillId="0" borderId="0" xfId="0" applyFont="1" applyAlignment="1">
      <alignment/>
    </xf>
    <xf numFmtId="0" fontId="75" fillId="0" borderId="0" xfId="0" applyFont="1" applyBorder="1" applyAlignment="1">
      <alignment vertical="center" wrapText="1"/>
    </xf>
    <xf numFmtId="9" fontId="75" fillId="33" borderId="20" xfId="60" applyFont="1" applyFill="1" applyBorder="1" applyAlignment="1">
      <alignment/>
    </xf>
    <xf numFmtId="175" fontId="75" fillId="33" borderId="20" xfId="0" applyNumberFormat="1" applyFont="1" applyFill="1" applyBorder="1" applyAlignment="1">
      <alignment/>
    </xf>
    <xf numFmtId="176" fontId="75" fillId="33" borderId="20" xfId="0" applyNumberFormat="1" applyFont="1" applyFill="1" applyBorder="1" applyAlignment="1">
      <alignment/>
    </xf>
    <xf numFmtId="0" fontId="75" fillId="0" borderId="12" xfId="0" applyFont="1" applyBorder="1" applyAlignment="1">
      <alignment/>
    </xf>
    <xf numFmtId="0" fontId="75" fillId="0" borderId="14" xfId="0" applyFont="1" applyBorder="1" applyAlignment="1">
      <alignment/>
    </xf>
    <xf numFmtId="0" fontId="75" fillId="0" borderId="13" xfId="0" applyFont="1" applyBorder="1" applyAlignment="1">
      <alignment/>
    </xf>
    <xf numFmtId="0" fontId="75" fillId="0" borderId="15" xfId="0" applyFont="1" applyBorder="1" applyAlignment="1">
      <alignment/>
    </xf>
    <xf numFmtId="0" fontId="75" fillId="0" borderId="16" xfId="0" applyFont="1" applyBorder="1" applyAlignment="1">
      <alignment/>
    </xf>
    <xf numFmtId="0" fontId="75" fillId="0" borderId="0" xfId="0" applyFont="1" applyBorder="1" applyAlignment="1">
      <alignment/>
    </xf>
    <xf numFmtId="0" fontId="75" fillId="0" borderId="0" xfId="0" applyFont="1" applyFill="1" applyBorder="1" applyAlignment="1">
      <alignment/>
    </xf>
    <xf numFmtId="0" fontId="75" fillId="0" borderId="17" xfId="0" applyFont="1" applyBorder="1" applyAlignment="1">
      <alignment/>
    </xf>
    <xf numFmtId="0" fontId="75" fillId="0" borderId="19" xfId="0" applyFont="1" applyBorder="1" applyAlignment="1">
      <alignment/>
    </xf>
    <xf numFmtId="0" fontId="75" fillId="0" borderId="18" xfId="0" applyFont="1" applyBorder="1" applyAlignment="1">
      <alignment/>
    </xf>
    <xf numFmtId="0" fontId="76" fillId="33" borderId="0" xfId="0" applyFont="1" applyFill="1" applyBorder="1" applyAlignment="1">
      <alignment vertical="center" wrapText="1"/>
    </xf>
    <xf numFmtId="0" fontId="76" fillId="33" borderId="20" xfId="0" applyFont="1" applyFill="1" applyBorder="1" applyAlignment="1">
      <alignment horizontal="center"/>
    </xf>
    <xf numFmtId="0" fontId="76" fillId="33" borderId="21" xfId="0" applyFont="1" applyFill="1" applyBorder="1" applyAlignment="1">
      <alignment horizontal="center"/>
    </xf>
    <xf numFmtId="0" fontId="76" fillId="33" borderId="0" xfId="0" applyFont="1" applyFill="1" applyBorder="1" applyAlignment="1">
      <alignment horizontal="center"/>
    </xf>
    <xf numFmtId="170" fontId="75" fillId="33" borderId="20" xfId="0" applyNumberFormat="1" applyFont="1" applyFill="1" applyBorder="1" applyAlignment="1">
      <alignment/>
    </xf>
    <xf numFmtId="0" fontId="76" fillId="33" borderId="0" xfId="0" applyFont="1" applyFill="1" applyBorder="1" applyAlignment="1">
      <alignment/>
    </xf>
    <xf numFmtId="0" fontId="77" fillId="0" borderId="0" xfId="0" applyFont="1" applyAlignment="1">
      <alignment/>
    </xf>
    <xf numFmtId="0" fontId="76" fillId="0" borderId="0" xfId="0" applyFont="1" applyAlignment="1">
      <alignment/>
    </xf>
    <xf numFmtId="0" fontId="76" fillId="0" borderId="0" xfId="0" applyFont="1" applyFill="1" applyAlignment="1">
      <alignment/>
    </xf>
    <xf numFmtId="0" fontId="78" fillId="0" borderId="0" xfId="0" applyFont="1" applyAlignment="1">
      <alignment/>
    </xf>
    <xf numFmtId="3" fontId="78" fillId="0" borderId="0" xfId="0" applyNumberFormat="1" applyFont="1" applyAlignment="1">
      <alignment/>
    </xf>
    <xf numFmtId="0" fontId="79" fillId="0" borderId="0" xfId="0" applyFont="1" applyAlignment="1">
      <alignment/>
    </xf>
    <xf numFmtId="0" fontId="78" fillId="0" borderId="0" xfId="0" applyFont="1" applyFill="1" applyBorder="1" applyAlignment="1">
      <alignment horizontal="center"/>
    </xf>
    <xf numFmtId="0" fontId="78" fillId="0" borderId="0" xfId="0" applyFont="1" applyBorder="1" applyAlignment="1">
      <alignment/>
    </xf>
    <xf numFmtId="0" fontId="78" fillId="0" borderId="0" xfId="0" applyFont="1" applyAlignment="1">
      <alignment horizontal="left"/>
    </xf>
    <xf numFmtId="0" fontId="79" fillId="0" borderId="0" xfId="0" applyFont="1" applyAlignment="1">
      <alignment horizontal="left"/>
    </xf>
    <xf numFmtId="0" fontId="78" fillId="0" borderId="0" xfId="0" applyFont="1" applyAlignment="1">
      <alignment/>
    </xf>
    <xf numFmtId="0" fontId="79"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166" fontId="6" fillId="0" borderId="0" xfId="0" applyNumberFormat="1" applyFont="1" applyAlignment="1">
      <alignment horizontal="right"/>
    </xf>
    <xf numFmtId="166" fontId="6" fillId="0" borderId="10" xfId="0" applyNumberFormat="1" applyFont="1" applyFill="1" applyBorder="1" applyAlignment="1">
      <alignment horizontal="right"/>
    </xf>
    <xf numFmtId="166" fontId="4" fillId="0" borderId="0" xfId="0" applyNumberFormat="1" applyFont="1" applyAlignment="1">
      <alignment horizontal="right"/>
    </xf>
    <xf numFmtId="0" fontId="78" fillId="0" borderId="0" xfId="0" applyFont="1" applyFill="1" applyBorder="1" applyAlignment="1">
      <alignment horizontal="left"/>
    </xf>
    <xf numFmtId="0" fontId="4" fillId="0" borderId="10" xfId="0" applyFont="1" applyBorder="1" applyAlignment="1">
      <alignment/>
    </xf>
    <xf numFmtId="170" fontId="4" fillId="16" borderId="10" xfId="0" applyNumberFormat="1" applyFont="1" applyFill="1" applyBorder="1" applyAlignment="1">
      <alignment/>
    </xf>
    <xf numFmtId="10" fontId="4" fillId="16" borderId="10" xfId="0" applyNumberFormat="1" applyFont="1" applyFill="1" applyBorder="1" applyAlignment="1">
      <alignment/>
    </xf>
    <xf numFmtId="9" fontId="4" fillId="16" borderId="10" xfId="0" applyNumberFormat="1" applyFont="1" applyFill="1" applyBorder="1" applyAlignment="1">
      <alignment horizontal="center"/>
    </xf>
    <xf numFmtId="170" fontId="4" fillId="16" borderId="10" xfId="0" applyNumberFormat="1" applyFont="1" applyFill="1" applyBorder="1" applyAlignment="1">
      <alignment horizontal="right"/>
    </xf>
    <xf numFmtId="9" fontId="4" fillId="16" borderId="10" xfId="0" applyNumberFormat="1" applyFont="1" applyFill="1" applyBorder="1" applyAlignment="1">
      <alignment horizontal="right"/>
    </xf>
    <xf numFmtId="0" fontId="4" fillId="16" borderId="10" xfId="0" applyFont="1" applyFill="1" applyBorder="1" applyAlignment="1">
      <alignment/>
    </xf>
    <xf numFmtId="3" fontId="4" fillId="16"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165" fontId="78" fillId="0" borderId="0" xfId="42" applyNumberFormat="1" applyFont="1" applyFill="1" applyBorder="1" applyAlignment="1">
      <alignment/>
    </xf>
    <xf numFmtId="165" fontId="78" fillId="0" borderId="0" xfId="42" applyNumberFormat="1" applyFont="1" applyFill="1" applyBorder="1" applyAlignment="1">
      <alignment horizontal="left"/>
    </xf>
    <xf numFmtId="165" fontId="78" fillId="0" borderId="0" xfId="0" applyNumberFormat="1" applyFont="1" applyFill="1" applyBorder="1" applyAlignment="1">
      <alignment/>
    </xf>
    <xf numFmtId="3" fontId="79" fillId="0" borderId="25" xfId="0" applyNumberFormat="1" applyFont="1" applyBorder="1" applyAlignment="1">
      <alignment/>
    </xf>
    <xf numFmtId="172" fontId="78" fillId="0" borderId="0" xfId="0" applyNumberFormat="1" applyFont="1" applyAlignment="1">
      <alignment/>
    </xf>
    <xf numFmtId="10" fontId="78" fillId="0" borderId="0" xfId="0" applyNumberFormat="1" applyFont="1" applyFill="1" applyBorder="1" applyAlignment="1">
      <alignment/>
    </xf>
    <xf numFmtId="0" fontId="79" fillId="0" borderId="0" xfId="0" applyFont="1" applyBorder="1" applyAlignment="1">
      <alignment horizontal="left"/>
    </xf>
    <xf numFmtId="179" fontId="79" fillId="0" borderId="0" xfId="0" applyNumberFormat="1" applyFont="1" applyAlignment="1">
      <alignment/>
    </xf>
    <xf numFmtId="179" fontId="80" fillId="0" borderId="0" xfId="0" applyNumberFormat="1" applyFont="1" applyAlignment="1">
      <alignment/>
    </xf>
    <xf numFmtId="0" fontId="81" fillId="0" borderId="0" xfId="0" applyFont="1" applyAlignment="1">
      <alignment horizontal="left"/>
    </xf>
    <xf numFmtId="0" fontId="80" fillId="0" borderId="0" xfId="0" applyFont="1" applyAlignment="1" quotePrefix="1">
      <alignment horizontal="left"/>
    </xf>
    <xf numFmtId="0" fontId="78" fillId="0" borderId="26" xfId="0" applyFont="1" applyBorder="1" applyAlignment="1">
      <alignment/>
    </xf>
    <xf numFmtId="3" fontId="79" fillId="0" borderId="0" xfId="0" applyNumberFormat="1" applyFont="1" applyBorder="1" applyAlignment="1">
      <alignment/>
    </xf>
    <xf numFmtId="0" fontId="78" fillId="0" borderId="0" xfId="0" applyFont="1" applyAlignment="1">
      <alignment horizontal="left" wrapText="1"/>
    </xf>
    <xf numFmtId="43" fontId="78" fillId="0" borderId="0" xfId="42" applyFont="1" applyAlignment="1">
      <alignment/>
    </xf>
    <xf numFmtId="0" fontId="78" fillId="0" borderId="0" xfId="0" applyFont="1" applyBorder="1" applyAlignment="1">
      <alignment horizontal="left"/>
    </xf>
    <xf numFmtId="9" fontId="78" fillId="0" borderId="0" xfId="0" applyNumberFormat="1" applyFont="1" applyFill="1" applyBorder="1" applyAlignment="1">
      <alignment horizontal="left"/>
    </xf>
    <xf numFmtId="9" fontId="78" fillId="0" borderId="0" xfId="0" applyNumberFormat="1" applyFont="1" applyAlignment="1">
      <alignment horizontal="left"/>
    </xf>
    <xf numFmtId="0" fontId="80" fillId="0" borderId="0" xfId="0" applyFont="1" applyAlignment="1">
      <alignment horizontal="left"/>
    </xf>
    <xf numFmtId="165" fontId="78" fillId="0" borderId="0" xfId="42" applyNumberFormat="1" applyFont="1" applyAlignment="1">
      <alignment horizontal="right"/>
    </xf>
    <xf numFmtId="0" fontId="76" fillId="33" borderId="22" xfId="0" applyFont="1" applyFill="1" applyBorder="1" applyAlignment="1">
      <alignment/>
    </xf>
    <xf numFmtId="0" fontId="76" fillId="0" borderId="27" xfId="0" applyFont="1" applyFill="1" applyBorder="1" applyAlignment="1">
      <alignment horizontal="left"/>
    </xf>
    <xf numFmtId="0" fontId="82" fillId="33" borderId="0" xfId="0" applyFont="1" applyFill="1" applyBorder="1" applyAlignment="1">
      <alignment horizontal="left"/>
    </xf>
    <xf numFmtId="0" fontId="82" fillId="0" borderId="0" xfId="0" applyFont="1" applyBorder="1" applyAlignment="1">
      <alignment horizontal="center" vertical="center" wrapText="1"/>
    </xf>
    <xf numFmtId="0" fontId="83" fillId="33" borderId="0" xfId="0" applyFont="1" applyFill="1" applyBorder="1" applyAlignment="1">
      <alignment horizontal="center" vertical="center" wrapText="1"/>
    </xf>
    <xf numFmtId="174" fontId="75" fillId="0" borderId="10" xfId="0" applyNumberFormat="1" applyFont="1" applyFill="1" applyBorder="1" applyAlignment="1">
      <alignment/>
    </xf>
    <xf numFmtId="43" fontId="76" fillId="0" borderId="0" xfId="42" applyFont="1" applyFill="1" applyAlignment="1">
      <alignment/>
    </xf>
    <xf numFmtId="0" fontId="75" fillId="0" borderId="10" xfId="0" applyFont="1" applyFill="1" applyBorder="1" applyAlignment="1">
      <alignment horizontal="left" vertical="center" wrapText="1"/>
    </xf>
    <xf numFmtId="0" fontId="75" fillId="0" borderId="10" xfId="0" applyFont="1" applyFill="1" applyBorder="1" applyAlignment="1">
      <alignment horizontal="center" vertical="center"/>
    </xf>
    <xf numFmtId="0" fontId="75" fillId="0" borderId="10" xfId="0" applyNumberFormat="1" applyFont="1" applyFill="1" applyBorder="1" applyAlignment="1">
      <alignment horizontal="center" vertical="center"/>
    </xf>
    <xf numFmtId="0" fontId="75" fillId="0" borderId="0" xfId="0" applyFont="1" applyFill="1" applyBorder="1" applyAlignment="1">
      <alignment horizontal="center" vertical="center" wrapText="1"/>
    </xf>
    <xf numFmtId="0" fontId="75" fillId="0" borderId="0" xfId="0" applyNumberFormat="1" applyFont="1" applyFill="1" applyBorder="1" applyAlignment="1">
      <alignment horizontal="center" vertical="center"/>
    </xf>
    <xf numFmtId="3" fontId="75" fillId="0" borderId="0" xfId="0" applyNumberFormat="1" applyFont="1" applyFill="1" applyBorder="1" applyAlignment="1">
      <alignment horizontal="center" vertical="center"/>
    </xf>
    <xf numFmtId="2" fontId="75" fillId="0" borderId="0" xfId="0" applyNumberFormat="1" applyFont="1" applyFill="1" applyBorder="1" applyAlignment="1">
      <alignment horizontal="center" vertical="center"/>
    </xf>
    <xf numFmtId="9" fontId="75" fillId="0" borderId="0" xfId="0" applyNumberFormat="1" applyFont="1" applyFill="1" applyBorder="1" applyAlignment="1">
      <alignment horizontal="center" vertical="center"/>
    </xf>
    <xf numFmtId="0" fontId="4" fillId="34" borderId="0" xfId="0" applyFont="1" applyFill="1" applyBorder="1" applyAlignment="1">
      <alignment/>
    </xf>
    <xf numFmtId="0" fontId="6" fillId="0" borderId="0" xfId="0" applyFont="1" applyFill="1" applyBorder="1" applyAlignment="1">
      <alignment horizontal="left"/>
    </xf>
    <xf numFmtId="0" fontId="8" fillId="0" borderId="0" xfId="0" applyFont="1" applyAlignment="1">
      <alignment/>
    </xf>
    <xf numFmtId="3" fontId="4" fillId="0" borderId="0" xfId="0" applyNumberFormat="1" applyFont="1" applyFill="1" applyBorder="1" applyAlignment="1">
      <alignment/>
    </xf>
    <xf numFmtId="3" fontId="4" fillId="0" borderId="0" xfId="0" applyNumberFormat="1" applyFont="1" applyFill="1" applyAlignment="1">
      <alignment/>
    </xf>
    <xf numFmtId="0" fontId="6" fillId="0" borderId="0" xfId="0" applyFont="1" applyAlignment="1">
      <alignment horizontal="center"/>
    </xf>
    <xf numFmtId="0" fontId="4" fillId="0" borderId="28" xfId="0" applyFont="1" applyBorder="1" applyAlignment="1">
      <alignment/>
    </xf>
    <xf numFmtId="3" fontId="4" fillId="0" borderId="28" xfId="0" applyNumberFormat="1" applyFont="1" applyBorder="1" applyAlignment="1">
      <alignment/>
    </xf>
    <xf numFmtId="0" fontId="6" fillId="0" borderId="0" xfId="0" applyFont="1" applyFill="1" applyBorder="1" applyAlignment="1">
      <alignment/>
    </xf>
    <xf numFmtId="0" fontId="9" fillId="0" borderId="0" xfId="0" applyFont="1" applyAlignment="1">
      <alignment/>
    </xf>
    <xf numFmtId="0" fontId="10" fillId="0" borderId="0" xfId="0" applyFont="1" applyFill="1" applyBorder="1" applyAlignment="1">
      <alignment/>
    </xf>
    <xf numFmtId="166" fontId="4" fillId="0" borderId="28" xfId="0" applyNumberFormat="1" applyFont="1" applyBorder="1" applyAlignment="1">
      <alignment/>
    </xf>
    <xf numFmtId="165" fontId="4" fillId="0" borderId="0" xfId="42" applyNumberFormat="1" applyFont="1" applyAlignment="1">
      <alignment/>
    </xf>
    <xf numFmtId="166" fontId="6" fillId="0" borderId="29" xfId="0" applyNumberFormat="1" applyFont="1" applyFill="1" applyBorder="1" applyAlignment="1">
      <alignment/>
    </xf>
    <xf numFmtId="9" fontId="4" fillId="16" borderId="10" xfId="0" applyNumberFormat="1" applyFont="1" applyFill="1" applyBorder="1" applyAlignment="1">
      <alignment/>
    </xf>
    <xf numFmtId="166" fontId="4" fillId="0" borderId="10" xfId="0" applyNumberFormat="1" applyFont="1" applyBorder="1" applyAlignment="1">
      <alignment/>
    </xf>
    <xf numFmtId="3" fontId="4" fillId="0" borderId="10" xfId="0" applyNumberFormat="1" applyFont="1" applyBorder="1" applyAlignment="1">
      <alignment/>
    </xf>
    <xf numFmtId="0" fontId="4" fillId="34" borderId="10" xfId="0" applyFont="1" applyFill="1" applyBorder="1" applyAlignment="1">
      <alignment/>
    </xf>
    <xf numFmtId="0" fontId="9" fillId="0" borderId="0" xfId="0" applyFont="1" applyAlignment="1">
      <alignment horizontal="left"/>
    </xf>
    <xf numFmtId="0" fontId="10" fillId="0" borderId="0" xfId="0" applyFont="1" applyFill="1" applyBorder="1" applyAlignment="1">
      <alignment horizontal="left"/>
    </xf>
    <xf numFmtId="167" fontId="4" fillId="0" borderId="10" xfId="0" applyNumberFormat="1" applyFont="1" applyBorder="1" applyAlignment="1">
      <alignment horizontal="right"/>
    </xf>
    <xf numFmtId="0" fontId="4" fillId="34" borderId="0" xfId="0" applyFont="1" applyFill="1" applyBorder="1" applyAlignment="1">
      <alignment horizontal="left"/>
    </xf>
    <xf numFmtId="0" fontId="8" fillId="0" borderId="0" xfId="0" applyFont="1" applyBorder="1" applyAlignment="1" quotePrefix="1">
      <alignment horizontal="left"/>
    </xf>
    <xf numFmtId="0" fontId="8" fillId="0" borderId="0" xfId="0" applyFont="1" applyBorder="1" applyAlignment="1">
      <alignment horizontal="left"/>
    </xf>
    <xf numFmtId="166" fontId="6" fillId="0" borderId="0" xfId="0" applyNumberFormat="1" applyFont="1" applyAlignment="1">
      <alignment horizontal="center"/>
    </xf>
    <xf numFmtId="0" fontId="6" fillId="0" borderId="0" xfId="0" applyFont="1" applyBorder="1" applyAlignment="1" quotePrefix="1">
      <alignment horizontal="left"/>
    </xf>
    <xf numFmtId="0" fontId="11" fillId="0" borderId="0" xfId="0" applyFont="1" applyBorder="1" applyAlignment="1">
      <alignment/>
    </xf>
    <xf numFmtId="0" fontId="4" fillId="0" borderId="0" xfId="0" applyFont="1" applyAlignment="1" quotePrefix="1">
      <alignment horizontal="left"/>
    </xf>
    <xf numFmtId="0" fontId="1" fillId="0" borderId="0" xfId="0" applyFont="1" applyBorder="1" applyAlignment="1">
      <alignment horizontal="left"/>
    </xf>
    <xf numFmtId="3" fontId="1" fillId="0" borderId="25" xfId="0" applyNumberFormat="1" applyFont="1" applyBorder="1" applyAlignment="1">
      <alignment/>
    </xf>
    <xf numFmtId="170" fontId="4" fillId="0" borderId="30" xfId="0" applyNumberFormat="1" applyFont="1" applyFill="1" applyBorder="1" applyAlignment="1">
      <alignment horizontal="center"/>
    </xf>
    <xf numFmtId="170" fontId="4" fillId="0" borderId="10" xfId="0" applyNumberFormat="1" applyFont="1" applyFill="1" applyBorder="1" applyAlignment="1">
      <alignment horizontal="center"/>
    </xf>
    <xf numFmtId="0" fontId="8" fillId="0" borderId="0" xfId="0" applyFont="1" applyAlignment="1">
      <alignment horizontal="center"/>
    </xf>
    <xf numFmtId="0" fontId="4" fillId="0" borderId="0" xfId="0" applyFont="1" applyFill="1" applyBorder="1" applyAlignment="1">
      <alignment horizontal="centerContinuous"/>
    </xf>
    <xf numFmtId="9" fontId="4" fillId="0" borderId="0" xfId="0" applyNumberFormat="1" applyFont="1" applyFill="1" applyBorder="1" applyAlignment="1">
      <alignment/>
    </xf>
    <xf numFmtId="165" fontId="4" fillId="0" borderId="31" xfId="42" applyNumberFormat="1" applyFont="1" applyFill="1" applyBorder="1" applyAlignment="1">
      <alignment horizontal="center"/>
    </xf>
    <xf numFmtId="0" fontId="4" fillId="0" borderId="10" xfId="0" applyFont="1" applyFill="1" applyBorder="1" applyAlignment="1">
      <alignment horizontal="left" vertical="center"/>
    </xf>
    <xf numFmtId="0" fontId="6" fillId="0" borderId="0" xfId="0" applyFont="1" applyFill="1" applyBorder="1" applyAlignment="1">
      <alignment horizontal="left" vertical="center"/>
    </xf>
    <xf numFmtId="165" fontId="6" fillId="0" borderId="0" xfId="42"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0" xfId="0" applyFont="1" applyFill="1" applyBorder="1" applyAlignment="1">
      <alignment horizontal="right" vertical="center"/>
    </xf>
    <xf numFmtId="3" fontId="4" fillId="16" borderId="10"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0" fontId="6" fillId="0" borderId="10" xfId="0" applyFont="1" applyFill="1" applyBorder="1" applyAlignment="1">
      <alignment horizontal="left" vertical="center"/>
    </xf>
    <xf numFmtId="3" fontId="6" fillId="0" borderId="10" xfId="0" applyNumberFormat="1" applyFont="1" applyFill="1" applyBorder="1" applyAlignment="1">
      <alignment horizontal="right" vertical="center"/>
    </xf>
    <xf numFmtId="3" fontId="6" fillId="0" borderId="10" xfId="0" applyNumberFormat="1" applyFont="1" applyFill="1" applyBorder="1" applyAlignment="1">
      <alignment horizontal="center" vertical="center"/>
    </xf>
    <xf numFmtId="178" fontId="4" fillId="16" borderId="10"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xf>
    <xf numFmtId="3" fontId="6" fillId="0" borderId="32" xfId="0" applyNumberFormat="1" applyFont="1" applyFill="1" applyBorder="1" applyAlignment="1">
      <alignment horizontal="right" vertical="center"/>
    </xf>
    <xf numFmtId="4" fontId="6" fillId="0" borderId="30" xfId="0" applyNumberFormat="1" applyFont="1" applyFill="1" applyBorder="1" applyAlignment="1">
      <alignment horizontal="right" vertical="center"/>
    </xf>
    <xf numFmtId="178" fontId="6" fillId="0" borderId="30" xfId="0" applyNumberFormat="1" applyFont="1" applyFill="1" applyBorder="1" applyAlignment="1">
      <alignment horizontal="center" vertical="center"/>
    </xf>
    <xf numFmtId="0" fontId="11" fillId="0" borderId="10" xfId="0" applyFont="1" applyFill="1" applyBorder="1" applyAlignment="1">
      <alignment horizontal="left" vertical="center"/>
    </xf>
    <xf numFmtId="4" fontId="11" fillId="0" borderId="33" xfId="0" applyNumberFormat="1" applyFont="1" applyFill="1" applyBorder="1" applyAlignment="1">
      <alignment horizontal="right" vertical="center"/>
    </xf>
    <xf numFmtId="178" fontId="11" fillId="0" borderId="10" xfId="0" applyNumberFormat="1" applyFont="1" applyFill="1" applyBorder="1" applyAlignment="1">
      <alignment horizontal="center" vertical="center"/>
    </xf>
    <xf numFmtId="178" fontId="6" fillId="0" borderId="32" xfId="0" applyNumberFormat="1" applyFont="1" applyFill="1" applyBorder="1" applyAlignment="1">
      <alignment horizontal="center" vertical="center"/>
    </xf>
    <xf numFmtId="3" fontId="6" fillId="0" borderId="10" xfId="0" applyNumberFormat="1" applyFont="1" applyFill="1" applyBorder="1" applyAlignment="1">
      <alignment vertical="center"/>
    </xf>
    <xf numFmtId="3" fontId="4" fillId="0" borderId="10" xfId="0" applyNumberFormat="1" applyFont="1" applyFill="1" applyBorder="1" applyAlignment="1">
      <alignment vertical="center"/>
    </xf>
    <xf numFmtId="177" fontId="4" fillId="0" borderId="10" xfId="0" applyNumberFormat="1" applyFont="1" applyFill="1" applyBorder="1" applyAlignment="1">
      <alignment horizontal="right"/>
    </xf>
    <xf numFmtId="166" fontId="4" fillId="0" borderId="0" xfId="0" applyNumberFormat="1" applyFont="1" applyAlignment="1">
      <alignment/>
    </xf>
    <xf numFmtId="166" fontId="4" fillId="0" borderId="10" xfId="42" applyNumberFormat="1" applyFont="1" applyFill="1" applyBorder="1" applyAlignment="1">
      <alignment horizontal="right" vertical="center"/>
    </xf>
    <xf numFmtId="166" fontId="6" fillId="0" borderId="0" xfId="42" applyNumberFormat="1" applyFont="1" applyFill="1" applyBorder="1" applyAlignment="1">
      <alignment vertical="center"/>
    </xf>
    <xf numFmtId="166" fontId="6" fillId="0" borderId="10" xfId="0" applyNumberFormat="1" applyFont="1" applyFill="1" applyBorder="1" applyAlignment="1">
      <alignment horizontal="right" vertical="center"/>
    </xf>
    <xf numFmtId="166" fontId="6" fillId="0" borderId="10" xfId="0" applyNumberFormat="1" applyFont="1" applyFill="1" applyBorder="1" applyAlignment="1">
      <alignment vertical="center"/>
    </xf>
    <xf numFmtId="167" fontId="4" fillId="0" borderId="0" xfId="0" applyNumberFormat="1" applyFont="1" applyAlignment="1">
      <alignment/>
    </xf>
    <xf numFmtId="167" fontId="6" fillId="0" borderId="0" xfId="42" applyNumberFormat="1" applyFont="1" applyFill="1" applyBorder="1" applyAlignment="1">
      <alignment vertical="center"/>
    </xf>
    <xf numFmtId="167" fontId="4" fillId="0" borderId="0" xfId="0" applyNumberFormat="1" applyFont="1" applyFill="1" applyBorder="1" applyAlignment="1">
      <alignment horizontal="left" vertical="center"/>
    </xf>
    <xf numFmtId="167" fontId="4" fillId="0" borderId="10" xfId="0" applyNumberFormat="1" applyFont="1" applyFill="1" applyBorder="1" applyAlignment="1">
      <alignment horizontal="right" vertical="center"/>
    </xf>
    <xf numFmtId="167" fontId="6" fillId="0" borderId="10" xfId="0" applyNumberFormat="1" applyFont="1" applyFill="1" applyBorder="1" applyAlignment="1">
      <alignment horizontal="right" vertical="center"/>
    </xf>
    <xf numFmtId="167" fontId="4" fillId="0" borderId="31" xfId="0" applyNumberFormat="1" applyFont="1" applyFill="1" applyBorder="1" applyAlignment="1">
      <alignment horizontal="right" vertical="center"/>
    </xf>
    <xf numFmtId="167" fontId="6" fillId="0" borderId="10" xfId="0" applyNumberFormat="1" applyFont="1" applyFill="1" applyBorder="1" applyAlignment="1">
      <alignment vertical="center"/>
    </xf>
    <xf numFmtId="167" fontId="4" fillId="0" borderId="10" xfId="0" applyNumberFormat="1" applyFont="1" applyFill="1" applyBorder="1" applyAlignment="1">
      <alignment vertical="center"/>
    </xf>
    <xf numFmtId="167" fontId="4" fillId="0" borderId="0" xfId="0" applyNumberFormat="1" applyFont="1" applyFill="1" applyAlignment="1">
      <alignment/>
    </xf>
    <xf numFmtId="167" fontId="6" fillId="0" borderId="0" xfId="0" applyNumberFormat="1" applyFont="1" applyBorder="1" applyAlignment="1">
      <alignment horizontal="right"/>
    </xf>
    <xf numFmtId="167" fontId="4" fillId="16" borderId="10" xfId="42" applyNumberFormat="1" applyFont="1" applyFill="1" applyBorder="1" applyAlignment="1">
      <alignment horizontal="right" vertical="center"/>
    </xf>
    <xf numFmtId="167" fontId="4" fillId="0" borderId="10" xfId="42" applyNumberFormat="1" applyFont="1" applyFill="1" applyBorder="1" applyAlignment="1">
      <alignment horizontal="right" vertical="center"/>
    </xf>
    <xf numFmtId="167" fontId="8" fillId="0" borderId="34" xfId="42" applyNumberFormat="1" applyFont="1" applyFill="1" applyBorder="1" applyAlignment="1">
      <alignment horizontal="right" vertical="center"/>
    </xf>
    <xf numFmtId="167" fontId="4" fillId="0" borderId="10" xfId="0" applyNumberFormat="1" applyFont="1" applyBorder="1" applyAlignment="1">
      <alignment/>
    </xf>
    <xf numFmtId="167" fontId="6" fillId="0" borderId="0" xfId="0" applyNumberFormat="1" applyFont="1" applyAlignment="1">
      <alignment/>
    </xf>
    <xf numFmtId="167" fontId="4" fillId="0" borderId="32" xfId="0" applyNumberFormat="1" applyFont="1" applyFill="1" applyBorder="1" applyAlignment="1">
      <alignment horizontal="right" vertical="center"/>
    </xf>
    <xf numFmtId="167" fontId="6" fillId="0" borderId="32" xfId="0" applyNumberFormat="1" applyFont="1" applyFill="1" applyBorder="1" applyAlignment="1">
      <alignment horizontal="right" vertical="center"/>
    </xf>
    <xf numFmtId="167" fontId="4" fillId="0" borderId="35" xfId="0" applyNumberFormat="1" applyFont="1" applyFill="1" applyBorder="1" applyAlignment="1">
      <alignment horizontal="right" vertical="center"/>
    </xf>
    <xf numFmtId="167" fontId="6" fillId="0" borderId="32" xfId="0" applyNumberFormat="1" applyFont="1" applyFill="1" applyBorder="1" applyAlignment="1">
      <alignment vertical="center"/>
    </xf>
    <xf numFmtId="166" fontId="4" fillId="0" borderId="10" xfId="42" applyNumberFormat="1" applyFont="1" applyBorder="1" applyAlignment="1">
      <alignment/>
    </xf>
    <xf numFmtId="166" fontId="6" fillId="0" borderId="10" xfId="42" applyNumberFormat="1" applyFont="1" applyFill="1" applyBorder="1" applyAlignment="1">
      <alignment horizontal="right" vertical="center"/>
    </xf>
    <xf numFmtId="165" fontId="4" fillId="0" borderId="10" xfId="42" applyNumberFormat="1" applyFont="1" applyFill="1" applyBorder="1" applyAlignment="1">
      <alignment vertical="center"/>
    </xf>
    <xf numFmtId="167" fontId="4" fillId="0" borderId="10" xfId="42" applyNumberFormat="1" applyFont="1" applyFill="1" applyBorder="1" applyAlignment="1">
      <alignment vertical="center"/>
    </xf>
    <xf numFmtId="165" fontId="4" fillId="0" borderId="10" xfId="42" applyNumberFormat="1" applyFont="1" applyFill="1" applyBorder="1" applyAlignment="1">
      <alignment horizontal="center" vertical="center"/>
    </xf>
    <xf numFmtId="166" fontId="4" fillId="0" borderId="10" xfId="42" applyNumberFormat="1" applyFont="1" applyFill="1" applyBorder="1" applyAlignment="1">
      <alignment vertical="center"/>
    </xf>
    <xf numFmtId="0" fontId="4" fillId="0" borderId="36" xfId="0" applyFont="1" applyBorder="1" applyAlignment="1">
      <alignment/>
    </xf>
    <xf numFmtId="3" fontId="78" fillId="0" borderId="25" xfId="0" applyNumberFormat="1" applyFont="1" applyBorder="1" applyAlignment="1">
      <alignment/>
    </xf>
    <xf numFmtId="3" fontId="78" fillId="0" borderId="29" xfId="0" applyNumberFormat="1" applyFont="1" applyBorder="1" applyAlignment="1">
      <alignment/>
    </xf>
    <xf numFmtId="0" fontId="5" fillId="33" borderId="0" xfId="0" applyFont="1" applyFill="1" applyBorder="1" applyAlignment="1" applyProtection="1">
      <alignment/>
      <protection hidden="1"/>
    </xf>
    <xf numFmtId="0" fontId="13" fillId="33" borderId="0" xfId="0" applyFont="1" applyFill="1" applyBorder="1" applyAlignment="1" applyProtection="1">
      <alignment horizontal="center"/>
      <protection hidden="1"/>
    </xf>
    <xf numFmtId="0" fontId="14" fillId="35" borderId="0" xfId="0" applyFont="1" applyFill="1" applyBorder="1" applyAlignment="1" applyProtection="1">
      <alignment horizontal="right"/>
      <protection hidden="1"/>
    </xf>
    <xf numFmtId="0" fontId="15" fillId="35" borderId="0" xfId="0" applyFont="1" applyFill="1" applyBorder="1" applyAlignment="1" applyProtection="1">
      <alignment/>
      <protection hidden="1"/>
    </xf>
    <xf numFmtId="0" fontId="15" fillId="16" borderId="10" xfId="0" applyFont="1" applyFill="1" applyBorder="1" applyAlignment="1" applyProtection="1">
      <alignment/>
      <protection hidden="1" locked="0"/>
    </xf>
    <xf numFmtId="3" fontId="4" fillId="0" borderId="0" xfId="0" applyNumberFormat="1" applyFont="1" applyBorder="1" applyAlignment="1">
      <alignment horizontal="center" vertical="center" wrapText="1"/>
    </xf>
    <xf numFmtId="3" fontId="8" fillId="0" borderId="0" xfId="0" applyNumberFormat="1" applyFont="1" applyBorder="1" applyAlignment="1">
      <alignment horizontal="right" vertical="center" wrapText="1"/>
    </xf>
    <xf numFmtId="9" fontId="8" fillId="0" borderId="0" xfId="0" applyNumberFormat="1" applyFont="1" applyFill="1" applyBorder="1" applyAlignment="1">
      <alignment/>
    </xf>
    <xf numFmtId="0" fontId="5" fillId="36" borderId="37" xfId="0" applyFont="1" applyFill="1" applyBorder="1" applyAlignment="1" applyProtection="1">
      <alignment/>
      <protection hidden="1"/>
    </xf>
    <xf numFmtId="0" fontId="5" fillId="36" borderId="25" xfId="0" applyFont="1" applyFill="1" applyBorder="1" applyAlignment="1" applyProtection="1">
      <alignment/>
      <protection hidden="1"/>
    </xf>
    <xf numFmtId="0" fontId="5" fillId="36" borderId="38" xfId="0" applyFont="1" applyFill="1" applyBorder="1" applyAlignment="1" applyProtection="1">
      <alignment/>
      <protection hidden="1"/>
    </xf>
    <xf numFmtId="0" fontId="5" fillId="36" borderId="11" xfId="0" applyFont="1" applyFill="1" applyBorder="1" applyAlignment="1" applyProtection="1">
      <alignment/>
      <protection hidden="1"/>
    </xf>
    <xf numFmtId="0" fontId="5" fillId="36" borderId="0" xfId="0" applyFont="1" applyFill="1" applyBorder="1" applyAlignment="1" applyProtection="1">
      <alignment/>
      <protection hidden="1"/>
    </xf>
    <xf numFmtId="0" fontId="17" fillId="36" borderId="0" xfId="0" applyFont="1" applyFill="1" applyBorder="1" applyAlignment="1" applyProtection="1">
      <alignment/>
      <protection hidden="1"/>
    </xf>
    <xf numFmtId="0" fontId="5" fillId="36" borderId="39" xfId="0" applyFont="1" applyFill="1" applyBorder="1" applyAlignment="1" applyProtection="1">
      <alignment/>
      <protection hidden="1"/>
    </xf>
    <xf numFmtId="0" fontId="18" fillId="36" borderId="0" xfId="0" applyFont="1" applyFill="1" applyBorder="1" applyAlignment="1" applyProtection="1">
      <alignment/>
      <protection hidden="1"/>
    </xf>
    <xf numFmtId="0" fontId="15" fillId="36" borderId="0" xfId="0" applyFont="1" applyFill="1" applyBorder="1" applyAlignment="1" applyProtection="1">
      <alignment/>
      <protection hidden="1"/>
    </xf>
    <xf numFmtId="0" fontId="15" fillId="36" borderId="0" xfId="53" applyFont="1" applyFill="1" applyBorder="1" applyAlignment="1" applyProtection="1">
      <alignment horizontal="left"/>
      <protection hidden="1"/>
    </xf>
    <xf numFmtId="0" fontId="5" fillId="36" borderId="40" xfId="0" applyFont="1" applyFill="1" applyBorder="1" applyAlignment="1" applyProtection="1">
      <alignment/>
      <protection hidden="1"/>
    </xf>
    <xf numFmtId="0" fontId="5" fillId="36" borderId="26" xfId="0" applyFont="1" applyFill="1" applyBorder="1" applyAlignment="1" applyProtection="1">
      <alignment/>
      <protection hidden="1"/>
    </xf>
    <xf numFmtId="0" fontId="5" fillId="36" borderId="41" xfId="0" applyFont="1" applyFill="1" applyBorder="1" applyAlignment="1" applyProtection="1">
      <alignment/>
      <protection hidden="1"/>
    </xf>
    <xf numFmtId="0" fontId="83" fillId="36" borderId="10" xfId="0" applyFont="1" applyFill="1" applyBorder="1" applyAlignment="1">
      <alignment horizontal="center" vertical="center" wrapText="1"/>
    </xf>
    <xf numFmtId="3" fontId="84" fillId="36" borderId="10" xfId="0" applyNumberFormat="1" applyFont="1" applyFill="1" applyBorder="1" applyAlignment="1">
      <alignment horizontal="center" vertical="center" wrapText="1"/>
    </xf>
    <xf numFmtId="167" fontId="84" fillId="36" borderId="10" xfId="0" applyNumberFormat="1" applyFont="1" applyFill="1" applyBorder="1" applyAlignment="1">
      <alignment horizontal="center" vertical="center" wrapText="1"/>
    </xf>
    <xf numFmtId="166" fontId="84" fillId="36" borderId="10" xfId="0" applyNumberFormat="1" applyFont="1" applyFill="1" applyBorder="1" applyAlignment="1">
      <alignment horizontal="center" vertical="center" wrapText="1"/>
    </xf>
    <xf numFmtId="167" fontId="4" fillId="6" borderId="10" xfId="42" applyNumberFormat="1" applyFont="1" applyFill="1" applyBorder="1" applyAlignment="1">
      <alignment horizontal="right" vertical="center"/>
    </xf>
    <xf numFmtId="0" fontId="4" fillId="6" borderId="10" xfId="0" applyFont="1" applyFill="1" applyBorder="1" applyAlignment="1">
      <alignment horizontal="right" vertical="center"/>
    </xf>
    <xf numFmtId="3" fontId="4" fillId="6" borderId="10" xfId="0" applyNumberFormat="1" applyFont="1" applyFill="1" applyBorder="1" applyAlignment="1">
      <alignment horizontal="center" vertical="center"/>
    </xf>
    <xf numFmtId="3" fontId="4" fillId="6" borderId="10" xfId="0" applyNumberFormat="1" applyFont="1" applyFill="1" applyBorder="1" applyAlignment="1">
      <alignment vertical="center"/>
    </xf>
    <xf numFmtId="3" fontId="4" fillId="6" borderId="10" xfId="0" applyNumberFormat="1" applyFont="1" applyFill="1" applyBorder="1" applyAlignment="1">
      <alignment horizontal="right" vertical="center"/>
    </xf>
    <xf numFmtId="165" fontId="78" fillId="6" borderId="10" xfId="42" applyNumberFormat="1" applyFont="1" applyFill="1" applyBorder="1" applyAlignment="1">
      <alignment horizontal="left"/>
    </xf>
    <xf numFmtId="0" fontId="84" fillId="36" borderId="0" xfId="0" applyFont="1" applyFill="1" applyAlignment="1">
      <alignment horizontal="left" vertical="center"/>
    </xf>
    <xf numFmtId="0" fontId="78" fillId="36" borderId="0" xfId="0" applyFont="1" applyFill="1" applyAlignment="1">
      <alignment horizontal="left"/>
    </xf>
    <xf numFmtId="0" fontId="84" fillId="36" borderId="10" xfId="0" applyFont="1" applyFill="1" applyBorder="1" applyAlignment="1">
      <alignment horizontal="center" vertical="center" wrapText="1"/>
    </xf>
    <xf numFmtId="0" fontId="84" fillId="36" borderId="10" xfId="0" applyFont="1" applyFill="1" applyBorder="1" applyAlignment="1">
      <alignment horizontal="left" vertical="center"/>
    </xf>
    <xf numFmtId="0" fontId="84" fillId="36" borderId="10" xfId="0" applyFont="1" applyFill="1" applyBorder="1" applyAlignment="1">
      <alignment horizontal="center" vertical="center"/>
    </xf>
    <xf numFmtId="0" fontId="84" fillId="36" borderId="10" xfId="0" applyFont="1" applyFill="1" applyBorder="1" applyAlignment="1">
      <alignment horizontal="left" vertical="center" wrapText="1"/>
    </xf>
    <xf numFmtId="9" fontId="4" fillId="6" borderId="10" xfId="0" applyNumberFormat="1" applyFont="1" applyFill="1" applyBorder="1" applyAlignment="1">
      <alignment horizontal="center"/>
    </xf>
    <xf numFmtId="2" fontId="4" fillId="6" borderId="10" xfId="0" applyNumberFormat="1" applyFont="1" applyFill="1" applyBorder="1" applyAlignment="1">
      <alignment horizontal="center" vertical="center"/>
    </xf>
    <xf numFmtId="9" fontId="4" fillId="6" borderId="10" xfId="0" applyNumberFormat="1" applyFont="1" applyFill="1" applyBorder="1" applyAlignment="1">
      <alignment horizontal="center" vertical="center"/>
    </xf>
    <xf numFmtId="9" fontId="8" fillId="0" borderId="0" xfId="0" applyNumberFormat="1" applyFont="1" applyFill="1" applyBorder="1" applyAlignment="1">
      <alignment horizontal="center"/>
    </xf>
    <xf numFmtId="3" fontId="8" fillId="0" borderId="10" xfId="0" applyNumberFormat="1" applyFont="1" applyFill="1" applyBorder="1" applyAlignment="1">
      <alignment horizontal="center" vertical="center"/>
    </xf>
    <xf numFmtId="4" fontId="4" fillId="6" borderId="10" xfId="0" applyNumberFormat="1" applyFont="1" applyFill="1" applyBorder="1" applyAlignment="1">
      <alignment horizontal="center" vertical="center"/>
    </xf>
    <xf numFmtId="0" fontId="4" fillId="6" borderId="36" xfId="0" applyFont="1" applyFill="1" applyBorder="1" applyAlignment="1">
      <alignment/>
    </xf>
    <xf numFmtId="2" fontId="4" fillId="6" borderId="28" xfId="0" applyNumberFormat="1" applyFont="1" applyFill="1" applyBorder="1" applyAlignment="1">
      <alignment/>
    </xf>
    <xf numFmtId="0" fontId="4" fillId="6" borderId="28" xfId="0" applyFont="1" applyFill="1" applyBorder="1" applyAlignment="1">
      <alignment/>
    </xf>
    <xf numFmtId="0" fontId="6" fillId="0" borderId="42" xfId="0" applyFont="1" applyBorder="1" applyAlignment="1">
      <alignment horizontal="center"/>
    </xf>
    <xf numFmtId="166" fontId="4" fillId="0" borderId="36" xfId="0" applyNumberFormat="1" applyFont="1" applyBorder="1" applyAlignment="1">
      <alignment/>
    </xf>
    <xf numFmtId="166" fontId="4" fillId="6" borderId="36" xfId="0" applyNumberFormat="1" applyFont="1" applyFill="1" applyBorder="1" applyAlignment="1">
      <alignment/>
    </xf>
    <xf numFmtId="166" fontId="4" fillId="6" borderId="28" xfId="0" applyNumberFormat="1" applyFont="1" applyFill="1" applyBorder="1" applyAlignment="1">
      <alignment/>
    </xf>
    <xf numFmtId="167" fontId="4" fillId="6" borderId="10" xfId="0" applyNumberFormat="1" applyFont="1" applyFill="1" applyBorder="1" applyAlignment="1">
      <alignment horizontal="right"/>
    </xf>
    <xf numFmtId="166" fontId="4" fillId="6" borderId="10" xfId="0" applyNumberFormat="1" applyFont="1" applyFill="1" applyBorder="1" applyAlignment="1">
      <alignment horizontal="right"/>
    </xf>
    <xf numFmtId="0" fontId="82" fillId="36" borderId="10" xfId="0" applyFont="1" applyFill="1" applyBorder="1" applyAlignment="1">
      <alignment/>
    </xf>
    <xf numFmtId="0" fontId="83" fillId="36" borderId="0" xfId="0" applyFont="1" applyFill="1" applyAlignment="1">
      <alignment horizontal="left"/>
    </xf>
    <xf numFmtId="0" fontId="82" fillId="36" borderId="0" xfId="0" applyFont="1" applyFill="1" applyAlignment="1">
      <alignment/>
    </xf>
    <xf numFmtId="0" fontId="82" fillId="36" borderId="0" xfId="0" applyFont="1" applyFill="1" applyAlignment="1">
      <alignment horizontal="left"/>
    </xf>
    <xf numFmtId="0" fontId="83" fillId="36" borderId="10" xfId="0" applyFont="1" applyFill="1" applyBorder="1" applyAlignment="1">
      <alignment horizontal="left" vertical="center"/>
    </xf>
    <xf numFmtId="9" fontId="4" fillId="6" borderId="28" xfId="0" applyNumberFormat="1" applyFont="1" applyFill="1" applyBorder="1" applyAlignment="1">
      <alignment/>
    </xf>
    <xf numFmtId="0" fontId="84" fillId="36" borderId="10" xfId="0" applyFont="1" applyFill="1" applyBorder="1" applyAlignment="1">
      <alignment horizontal="center" vertical="center" wrapText="1"/>
    </xf>
    <xf numFmtId="0" fontId="84" fillId="36" borderId="10" xfId="0" applyFont="1" applyFill="1" applyBorder="1" applyAlignment="1">
      <alignment vertical="center" wrapText="1"/>
    </xf>
    <xf numFmtId="168" fontId="4" fillId="6" borderId="10" xfId="0" applyNumberFormat="1" applyFont="1" applyFill="1" applyBorder="1" applyAlignment="1">
      <alignment horizontal="right"/>
    </xf>
    <xf numFmtId="167" fontId="4" fillId="6" borderId="10" xfId="0" applyNumberFormat="1" applyFont="1" applyFill="1" applyBorder="1" applyAlignment="1">
      <alignment horizontal="center" vertical="center"/>
    </xf>
    <xf numFmtId="167" fontId="11" fillId="0" borderId="0" xfId="0" applyNumberFormat="1" applyFont="1" applyBorder="1" applyAlignment="1">
      <alignment horizontal="right"/>
    </xf>
    <xf numFmtId="167" fontId="11" fillId="0" borderId="31" xfId="0" applyNumberFormat="1" applyFont="1" applyBorder="1" applyAlignment="1">
      <alignment horizontal="right"/>
    </xf>
    <xf numFmtId="0" fontId="11" fillId="0" borderId="0" xfId="0" applyFont="1" applyBorder="1" applyAlignment="1">
      <alignment horizontal="left" vertical="center" wrapText="1"/>
    </xf>
    <xf numFmtId="3" fontId="78" fillId="0" borderId="0" xfId="0" applyNumberFormat="1" applyFont="1" applyBorder="1" applyAlignment="1">
      <alignment/>
    </xf>
    <xf numFmtId="172" fontId="79" fillId="0" borderId="29" xfId="0" applyNumberFormat="1" applyFont="1" applyBorder="1" applyAlignment="1">
      <alignment/>
    </xf>
    <xf numFmtId="172" fontId="81" fillId="0" borderId="0" xfId="42" applyNumberFormat="1" applyFont="1" applyAlignment="1">
      <alignment/>
    </xf>
    <xf numFmtId="3" fontId="76" fillId="33" borderId="20" xfId="0" applyNumberFormat="1" applyFont="1" applyFill="1" applyBorder="1" applyAlignment="1">
      <alignment/>
    </xf>
    <xf numFmtId="3" fontId="76" fillId="33" borderId="27" xfId="0" applyNumberFormat="1" applyFont="1" applyFill="1" applyBorder="1" applyAlignment="1">
      <alignment/>
    </xf>
    <xf numFmtId="0" fontId="19" fillId="33" borderId="0" xfId="0" applyFont="1" applyFill="1" applyBorder="1" applyAlignment="1" applyProtection="1">
      <alignment horizontal="left" vertical="justify" wrapText="1"/>
      <protection hidden="1"/>
    </xf>
    <xf numFmtId="0" fontId="5" fillId="0" borderId="0" xfId="0" applyFont="1" applyAlignment="1">
      <alignment horizontal="left" vertical="justify" wrapText="1"/>
    </xf>
    <xf numFmtId="173" fontId="16" fillId="33" borderId="0" xfId="0" applyNumberFormat="1" applyFont="1" applyFill="1" applyBorder="1" applyAlignment="1" applyProtection="1">
      <alignment horizontal="center"/>
      <protection hidden="1"/>
    </xf>
    <xf numFmtId="0" fontId="15" fillId="16" borderId="34" xfId="0" applyFont="1" applyFill="1" applyBorder="1" applyAlignment="1" applyProtection="1">
      <alignment horizontal="left"/>
      <protection hidden="1" locked="0"/>
    </xf>
    <xf numFmtId="0" fontId="15" fillId="16" borderId="35" xfId="0" applyFont="1" applyFill="1" applyBorder="1" applyAlignment="1" applyProtection="1">
      <alignment horizontal="left"/>
      <protection hidden="1" locked="0"/>
    </xf>
    <xf numFmtId="0" fontId="12" fillId="33" borderId="0" xfId="0" applyFont="1" applyFill="1" applyBorder="1" applyAlignment="1" applyProtection="1">
      <alignment horizontal="center"/>
      <protection hidden="1"/>
    </xf>
    <xf numFmtId="0" fontId="83" fillId="36" borderId="10" xfId="0" applyFont="1" applyFill="1" applyBorder="1" applyAlignment="1">
      <alignment horizontal="center" vertical="center" wrapText="1"/>
    </xf>
    <xf numFmtId="0" fontId="82" fillId="36" borderId="10" xfId="0" applyFont="1" applyFill="1" applyBorder="1" applyAlignment="1">
      <alignment/>
    </xf>
    <xf numFmtId="172" fontId="76" fillId="0" borderId="43" xfId="0" applyNumberFormat="1" applyFont="1" applyFill="1" applyBorder="1" applyAlignment="1">
      <alignment vertical="center"/>
    </xf>
    <xf numFmtId="172" fontId="76" fillId="0" borderId="44" xfId="0" applyNumberFormat="1" applyFont="1" applyFill="1" applyBorder="1" applyAlignment="1">
      <alignment vertical="center"/>
    </xf>
    <xf numFmtId="0" fontId="83" fillId="36" borderId="45" xfId="0" applyFont="1" applyFill="1" applyBorder="1" applyAlignment="1">
      <alignment horizontal="center" vertical="center" wrapText="1"/>
    </xf>
    <xf numFmtId="0" fontId="82" fillId="36" borderId="20" xfId="0" applyFont="1" applyFill="1" applyBorder="1" applyAlignment="1">
      <alignment/>
    </xf>
    <xf numFmtId="0" fontId="76" fillId="0" borderId="0" xfId="0" applyFont="1" applyFill="1" applyAlignment="1">
      <alignment horizontal="center"/>
    </xf>
    <xf numFmtId="0" fontId="76" fillId="0" borderId="23" xfId="0" applyFont="1" applyFill="1" applyBorder="1" applyAlignment="1">
      <alignment horizontal="left" vertical="center" wrapText="1"/>
    </xf>
    <xf numFmtId="0" fontId="76" fillId="0" borderId="45" xfId="0" applyFont="1" applyFill="1" applyBorder="1" applyAlignment="1">
      <alignment horizontal="left"/>
    </xf>
    <xf numFmtId="0" fontId="83" fillId="36" borderId="20" xfId="0" applyFont="1" applyFill="1" applyBorder="1" applyAlignment="1">
      <alignment horizontal="center" vertical="center" wrapText="1"/>
    </xf>
    <xf numFmtId="0" fontId="83" fillId="36" borderId="46" xfId="0" applyFont="1" applyFill="1" applyBorder="1" applyAlignment="1">
      <alignment horizontal="center" vertical="center" wrapText="1"/>
    </xf>
    <xf numFmtId="0" fontId="82" fillId="36" borderId="22" xfId="0" applyFont="1" applyFill="1" applyBorder="1" applyAlignment="1">
      <alignment/>
    </xf>
    <xf numFmtId="0" fontId="82" fillId="36" borderId="10" xfId="0" applyFont="1" applyFill="1" applyBorder="1" applyAlignment="1">
      <alignment horizontal="center" vertical="center" wrapText="1"/>
    </xf>
    <xf numFmtId="0" fontId="83" fillId="36" borderId="47" xfId="0" applyFont="1" applyFill="1" applyBorder="1" applyAlignment="1">
      <alignment horizontal="center" vertical="center" wrapText="1"/>
    </xf>
    <xf numFmtId="0" fontId="83" fillId="36" borderId="48" xfId="0" applyFont="1" applyFill="1" applyBorder="1" applyAlignment="1">
      <alignment horizontal="center" vertical="center" wrapText="1"/>
    </xf>
    <xf numFmtId="0" fontId="82" fillId="36" borderId="48" xfId="0" applyFont="1" applyFill="1" applyBorder="1" applyAlignment="1">
      <alignment horizontal="center" vertical="center" wrapText="1"/>
    </xf>
    <xf numFmtId="0" fontId="82" fillId="36" borderId="49" xfId="0" applyFont="1" applyFill="1" applyBorder="1" applyAlignment="1">
      <alignment horizontal="center" vertical="center" wrapText="1"/>
    </xf>
    <xf numFmtId="0" fontId="76" fillId="33" borderId="0" xfId="0" applyFont="1" applyFill="1" applyBorder="1" applyAlignment="1">
      <alignment vertical="center" wrapText="1"/>
    </xf>
    <xf numFmtId="0" fontId="75" fillId="0" borderId="0" xfId="0" applyFont="1" applyBorder="1" applyAlignment="1">
      <alignment vertical="center" wrapText="1"/>
    </xf>
    <xf numFmtId="170" fontId="75" fillId="33" borderId="27" xfId="0" applyNumberFormat="1" applyFont="1" applyFill="1" applyBorder="1" applyAlignment="1">
      <alignment horizontal="center"/>
    </xf>
    <xf numFmtId="170" fontId="75" fillId="33" borderId="21" xfId="0" applyNumberFormat="1" applyFont="1" applyFill="1" applyBorder="1" applyAlignment="1">
      <alignment horizontal="center"/>
    </xf>
    <xf numFmtId="170" fontId="75" fillId="33" borderId="22" xfId="0" applyNumberFormat="1" applyFont="1" applyFill="1" applyBorder="1" applyAlignment="1">
      <alignment horizontal="center"/>
    </xf>
    <xf numFmtId="0" fontId="76" fillId="0" borderId="0" xfId="0" applyFont="1" applyAlignment="1">
      <alignment horizontal="center"/>
    </xf>
    <xf numFmtId="0" fontId="83" fillId="36" borderId="10" xfId="0" applyFont="1" applyFill="1" applyBorder="1" applyAlignment="1">
      <alignment horizontal="center"/>
    </xf>
    <xf numFmtId="43" fontId="76" fillId="0" borderId="0" xfId="42" applyFont="1" applyFill="1" applyAlignment="1">
      <alignment horizontal="left"/>
    </xf>
    <xf numFmtId="0" fontId="75" fillId="0" borderId="0" xfId="0" applyFont="1" applyFill="1" applyAlignment="1">
      <alignment horizontal="left"/>
    </xf>
    <xf numFmtId="0" fontId="83" fillId="36" borderId="10" xfId="0" applyFont="1" applyFill="1" applyBorder="1" applyAlignment="1">
      <alignment horizontal="center" vertical="center"/>
    </xf>
    <xf numFmtId="0" fontId="82" fillId="36" borderId="1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84" fillId="36" borderId="10" xfId="0" applyFont="1" applyFill="1" applyBorder="1" applyAlignment="1">
      <alignment horizontal="center" vertical="center" wrapText="1"/>
    </xf>
    <xf numFmtId="0" fontId="85" fillId="36" borderId="10" xfId="0" applyFont="1" applyFill="1" applyBorder="1" applyAlignment="1">
      <alignment/>
    </xf>
    <xf numFmtId="0" fontId="84" fillId="36" borderId="10" xfId="0" applyFont="1" applyFill="1" applyBorder="1" applyAlignment="1">
      <alignment vertical="center" wrapText="1"/>
    </xf>
    <xf numFmtId="166" fontId="84" fillId="36" borderId="10" xfId="0" applyNumberFormat="1" applyFont="1" applyFill="1" applyBorder="1" applyAlignment="1">
      <alignment horizontal="center" vertical="center" wrapText="1"/>
    </xf>
    <xf numFmtId="166" fontId="85" fillId="36" borderId="10" xfId="0" applyNumberFormat="1" applyFont="1" applyFill="1" applyBorder="1" applyAlignment="1">
      <alignment/>
    </xf>
    <xf numFmtId="0" fontId="6" fillId="0" borderId="50" xfId="0" applyFont="1" applyFill="1" applyBorder="1" applyAlignment="1">
      <alignment horizontal="center" vertical="center" wrapText="1"/>
    </xf>
    <xf numFmtId="0" fontId="4" fillId="0" borderId="51"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7"/>
      <c:rotY val="20"/>
      <c:depthPercent val="100"/>
      <c:rAngAx val="1"/>
    </c:view3D>
    <c:plotArea>
      <c:layout>
        <c:manualLayout>
          <c:xMode val="edge"/>
          <c:yMode val="edge"/>
          <c:x val="0.00325"/>
          <c:y val="0.01975"/>
          <c:w val="0.89"/>
          <c:h val="0.98025"/>
        </c:manualLayout>
      </c:layout>
      <c:bar3DChart>
        <c:barDir val="col"/>
        <c:grouping val="clustered"/>
        <c:varyColors val="0"/>
        <c:ser>
          <c:idx val="0"/>
          <c:order val="0"/>
          <c:tx>
            <c:v>Income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'Financial Summary (1)'!$E$15:$I$16</c:f>
              <c:multiLvlStrCache>
                <c:ptCount val="5"/>
                <c:lvl>
                  <c:pt idx="0">
                    <c:v>1</c:v>
                  </c:pt>
                  <c:pt idx="1">
                    <c:v>2</c:v>
                  </c:pt>
                  <c:pt idx="2">
                    <c:v>3</c:v>
                  </c:pt>
                  <c:pt idx="3">
                    <c:v>4</c:v>
                  </c:pt>
                  <c:pt idx="4">
                    <c:v>5</c:v>
                  </c:pt>
                </c:lvl>
              </c:multiLvlStrCache>
            </c:multiLvlStrRef>
          </c:cat>
          <c:val>
            <c:numRef>
              <c:f>'Financial Summary (1)'!$E$24:$I$24</c:f>
              <c:numCache>
                <c:ptCount val="5"/>
                <c:pt idx="0">
                  <c:v>30720</c:v>
                </c:pt>
                <c:pt idx="1">
                  <c:v>30975.2</c:v>
                </c:pt>
                <c:pt idx="2">
                  <c:v>31232.951999999997</c:v>
                </c:pt>
                <c:pt idx="3">
                  <c:v>31493.281520000004</c:v>
                </c:pt>
                <c:pt idx="4">
                  <c:v>31756.2143352</c:v>
                </c:pt>
              </c:numCache>
            </c:numRef>
          </c:val>
          <c:shape val="cylinder"/>
        </c:ser>
        <c:ser>
          <c:idx val="1"/>
          <c:order val="1"/>
          <c:tx>
            <c:v>Expenditure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'Financial Summary (1)'!$E$15:$I$16</c:f>
              <c:multiLvlStrCache>
                <c:ptCount val="5"/>
                <c:lvl>
                  <c:pt idx="0">
                    <c:v>1</c:v>
                  </c:pt>
                  <c:pt idx="1">
                    <c:v>2</c:v>
                  </c:pt>
                  <c:pt idx="2">
                    <c:v>3</c:v>
                  </c:pt>
                  <c:pt idx="3">
                    <c:v>4</c:v>
                  </c:pt>
                  <c:pt idx="4">
                    <c:v>5</c:v>
                  </c:pt>
                </c:lvl>
              </c:multiLvlStrCache>
            </c:multiLvlStrRef>
          </c:cat>
          <c:val>
            <c:numRef>
              <c:f>'Financial Summary (1)'!$E$55:$I$55</c:f>
              <c:numCache>
                <c:ptCount val="5"/>
                <c:pt idx="0">
                  <c:v>29307.428000550008</c:v>
                </c:pt>
                <c:pt idx="1">
                  <c:v>29312.736160550005</c:v>
                </c:pt>
                <c:pt idx="2">
                  <c:v>29318.097402150004</c:v>
                </c:pt>
                <c:pt idx="3">
                  <c:v>29323.512256166006</c:v>
                </c:pt>
                <c:pt idx="4">
                  <c:v>29328.981258722164</c:v>
                </c:pt>
              </c:numCache>
            </c:numRef>
          </c:val>
          <c:shape val="cylinder"/>
        </c:ser>
        <c:shape val="cylinder"/>
        <c:axId val="28422068"/>
        <c:axId val="54472021"/>
      </c:bar3DChart>
      <c:catAx>
        <c:axId val="28422068"/>
        <c:scaling>
          <c:orientation val="minMax"/>
        </c:scaling>
        <c:axPos val="b"/>
        <c:title>
          <c:tx>
            <c:rich>
              <a:bodyPr vert="horz" rot="0" anchor="ctr"/>
              <a:lstStyle/>
              <a:p>
                <a:pPr algn="ctr">
                  <a:defRPr/>
                </a:pPr>
                <a:r>
                  <a:rPr lang="en-US" cap="none" sz="1550" b="1" i="0" u="none" baseline="0">
                    <a:solidFill>
                      <a:srgbClr val="000000"/>
                    </a:solidFill>
                    <a:latin typeface="Arial"/>
                    <a:ea typeface="Arial"/>
                    <a:cs typeface="Arial"/>
                  </a:rPr>
                  <a:t>Years</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crossAx val="54472021"/>
        <c:crosses val="autoZero"/>
        <c:auto val="1"/>
        <c:lblOffset val="100"/>
        <c:tickLblSkip val="1"/>
        <c:noMultiLvlLbl val="0"/>
      </c:catAx>
      <c:valAx>
        <c:axId val="54472021"/>
        <c:scaling>
          <c:orientation val="minMax"/>
          <c:max val="50000"/>
        </c:scaling>
        <c:axPos val="l"/>
        <c:title>
          <c:tx>
            <c:rich>
              <a:bodyPr vert="horz" rot="0" anchor="ctr"/>
              <a:lstStyle/>
              <a:p>
                <a:pPr algn="ctr">
                  <a:defRPr/>
                </a:pPr>
                <a:r>
                  <a:rPr lang="en-US" cap="none" sz="1200" b="1" i="0" u="none" baseline="0">
                    <a:solidFill>
                      <a:srgbClr val="000000"/>
                    </a:solidFill>
                    <a:latin typeface="Arial"/>
                    <a:ea typeface="Arial"/>
                    <a:cs typeface="Arial"/>
                  </a:rPr>
                  <a:t>£</a:t>
                </a:r>
              </a:p>
            </c:rich>
          </c:tx>
          <c:layout>
            <c:manualLayout>
              <c:xMode val="factor"/>
              <c:yMode val="factor"/>
              <c:x val="0.0165"/>
              <c:y val="-0.00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crossAx val="28422068"/>
        <c:crossesAt val="1"/>
        <c:crossBetween val="between"/>
        <c:dispUnits/>
      </c:valAx>
      <c:spPr>
        <a:noFill/>
        <a:ln>
          <a:noFill/>
        </a:ln>
      </c:spPr>
    </c:plotArea>
    <c:legend>
      <c:legendPos val="r"/>
      <c:layout>
        <c:manualLayout>
          <c:xMode val="edge"/>
          <c:yMode val="edge"/>
          <c:x val="0.881"/>
          <c:y val="0.6355"/>
          <c:w val="0.117"/>
          <c:h val="0.112"/>
        </c:manualLayout>
      </c:layout>
      <c:overlay val="0"/>
      <c:spPr>
        <a:solidFill>
          <a:srgbClr val="FFFFFF"/>
        </a:solidFill>
        <a:ln w="3175">
          <a:solidFill>
            <a:srgbClr val="000000"/>
          </a:solidFill>
        </a:ln>
      </c:spPr>
      <c:txPr>
        <a:bodyPr vert="horz" rot="0"/>
        <a:lstStyle/>
        <a:p>
          <a:pPr>
            <a:defRPr lang="en-US" cap="none" sz="124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8100">
      <a:solidFill>
        <a:srgbClr val="4600A5"/>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Income split for Year 5</a:t>
            </a:r>
          </a:p>
        </c:rich>
      </c:tx>
      <c:layout>
        <c:manualLayout>
          <c:xMode val="factor"/>
          <c:yMode val="factor"/>
          <c:x val="-0.27875"/>
          <c:y val="0.8615"/>
        </c:manualLayout>
      </c:layout>
      <c:spPr>
        <a:noFill/>
        <a:ln>
          <a:noFill/>
        </a:ln>
      </c:spPr>
    </c:title>
    <c:plotArea>
      <c:layout>
        <c:manualLayout>
          <c:xMode val="edge"/>
          <c:yMode val="edge"/>
          <c:x val="0.19275"/>
          <c:y val="0.24675"/>
          <c:w val="0.39975"/>
          <c:h val="0.518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4F81BD"/>
              </a:solidFill>
              <a:ln w="12700">
                <a:solidFill>
                  <a:srgbClr val="000000"/>
                </a:solidFill>
              </a:ln>
            </c:spPr>
          </c:dPt>
          <c:dPt>
            <c:idx val="4"/>
            <c:spPr>
              <a:solidFill>
                <a:srgbClr val="4F81BD"/>
              </a:solidFill>
              <a:ln w="12700">
                <a:solidFill>
                  <a:srgbClr val="000000"/>
                </a:solidFill>
              </a:ln>
            </c:spPr>
          </c:dPt>
          <c:dLbls>
            <c:dLbl>
              <c:idx val="0"/>
              <c:layout>
                <c:manualLayout>
                  <c:x val="0"/>
                  <c:y val="0"/>
                </c:manualLayout>
              </c:layout>
              <c:txPr>
                <a:bodyPr vert="horz" rot="0" anchor="ctr"/>
                <a:lstStyle/>
                <a:p>
                  <a:pPr algn="ctr">
                    <a:defRPr lang="en-US" cap="none" sz="1475"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475"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475"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475"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475"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7"/>
              <c:txPr>
                <a:bodyPr vert="horz" rot="0" anchor="ctr"/>
                <a:lstStyle/>
                <a:p>
                  <a:pPr algn="ctr">
                    <a:defRPr lang="en-US" cap="none" sz="14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txPr>
              <a:bodyPr vert="horz" rot="0" anchor="ctr"/>
              <a:lstStyle/>
              <a:p>
                <a:pPr algn="ctr">
                  <a:defRPr lang="en-US" cap="none" sz="1475"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'Financial Summary (1)'!$C$18:$C$22</c:f>
              <c:strCache>
                <c:ptCount val="5"/>
                <c:pt idx="0">
                  <c:v>Match Fees</c:v>
                </c:pt>
                <c:pt idx="1">
                  <c:v>Training Fees</c:v>
                </c:pt>
                <c:pt idx="2">
                  <c:v>Club Subscriptions</c:v>
                </c:pt>
                <c:pt idx="3">
                  <c:v>Sponsorship and Donations</c:v>
                </c:pt>
                <c:pt idx="4">
                  <c:v>Entertainment</c:v>
                </c:pt>
              </c:strCache>
            </c:strRef>
          </c:cat>
          <c:val>
            <c:numRef>
              <c:f>'Financial Summary (1)'!$I$18:$I$22</c:f>
              <c:numCache>
                <c:ptCount val="5"/>
                <c:pt idx="0">
                  <c:v>17815.1406512</c:v>
                </c:pt>
                <c:pt idx="1">
                  <c:v>2700</c:v>
                </c:pt>
                <c:pt idx="2">
                  <c:v>8741.073684</c:v>
                </c:pt>
                <c:pt idx="3">
                  <c:v>2500</c:v>
                </c:pt>
                <c:pt idx="4">
                  <c:v>3000</c:v>
                </c:pt>
              </c:numCache>
            </c:numRef>
          </c:val>
        </c:ser>
      </c:pieChart>
      <c:spPr>
        <a:noFill/>
        <a:ln>
          <a:noFill/>
        </a:ln>
      </c:spPr>
    </c:plotArea>
    <c:legend>
      <c:legendPos val="r"/>
      <c:layout>
        <c:manualLayout>
          <c:xMode val="edge"/>
          <c:yMode val="edge"/>
          <c:x val="0.69075"/>
          <c:y val="0.1485"/>
          <c:w val="0.2805"/>
          <c:h val="0.651"/>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Income split for Year 5</a:t>
            </a:r>
          </a:p>
        </c:rich>
      </c:tx>
      <c:layout>
        <c:manualLayout>
          <c:xMode val="factor"/>
          <c:yMode val="factor"/>
          <c:x val="-0.27225"/>
          <c:y val="0.85925"/>
        </c:manualLayout>
      </c:layout>
      <c:spPr>
        <a:noFill/>
        <a:ln w="3175">
          <a:noFill/>
        </a:ln>
      </c:spPr>
    </c:title>
    <c:plotArea>
      <c:layout>
        <c:manualLayout>
          <c:xMode val="edge"/>
          <c:yMode val="edge"/>
          <c:x val="0.19125"/>
          <c:y val="0.25225"/>
          <c:w val="0.40275"/>
          <c:h val="0.512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layout>
                <c:manualLayout>
                  <c:x val="0"/>
                  <c:y val="0"/>
                </c:manualLayout>
              </c:layout>
              <c:txPr>
                <a:bodyPr vert="horz" rot="0" anchor="ctr"/>
                <a:lstStyle/>
                <a:p>
                  <a:pPr algn="ctr">
                    <a:defRPr lang="en-US" cap="none" sz="148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1"/>
            </c:dLbl>
            <c:numFmt formatCode="General" sourceLinked="1"/>
            <c:txPr>
              <a:bodyPr vert="horz" rot="0" anchor="ctr"/>
              <a:lstStyle/>
              <a:p>
                <a:pPr algn="ctr">
                  <a:defRPr lang="en-US" cap="none" sz="148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('Financial Summary (1)'!$C$33,'Financial Summary (1)'!$C$36,'Financial Summary (1)'!$C$38,'Financial Summary (1)'!$C$40,'Financial Summary (1)'!$C$42,'Financial Summary (1)'!$C$49)</c:f>
              <c:strCache>
                <c:ptCount val="6"/>
                <c:pt idx="0">
                  <c:v>AGP Hire</c:v>
                </c:pt>
                <c:pt idx="1">
                  <c:v>Coaching and Umpire Fees</c:v>
                </c:pt>
                <c:pt idx="2">
                  <c:v>Equipment Lifecycle</c:v>
                </c:pt>
                <c:pt idx="3">
                  <c:v>Advertising &amp; Marketing</c:v>
                </c:pt>
                <c:pt idx="4">
                  <c:v>Administration</c:v>
                </c:pt>
                <c:pt idx="5">
                  <c:v>Central Costs, Overheads and Profit</c:v>
                </c:pt>
              </c:strCache>
            </c:strRef>
          </c:cat>
          <c:val>
            <c:numRef>
              <c:f>('Financial Summary (1)'!$I$33,'Financial Summary (1)'!$I$36,'Financial Summary (1)'!$I$38,'Financial Summary (1)'!$I$40,'Financial Summary (1)'!$I$47,'Financial Summary (1)'!$I$53)</c:f>
              <c:numCache>
                <c:ptCount val="6"/>
                <c:pt idx="0">
                  <c:v>16500</c:v>
                </c:pt>
                <c:pt idx="1">
                  <c:v>4050</c:v>
                </c:pt>
                <c:pt idx="2">
                  <c:v>758.3333333333334</c:v>
                </c:pt>
                <c:pt idx="3">
                  <c:v>635.1242867039999</c:v>
                </c:pt>
                <c:pt idx="4">
                  <c:v>5352.686430056</c:v>
                </c:pt>
                <c:pt idx="5">
                  <c:v>282.83720862883195</c:v>
                </c:pt>
              </c:numCache>
            </c:numRef>
          </c:val>
        </c:ser>
      </c:pieChart>
      <c:spPr>
        <a:noFill/>
        <a:ln>
          <a:noFill/>
        </a:ln>
      </c:spPr>
    </c:plotArea>
    <c:legend>
      <c:legendPos val="r"/>
      <c:layout>
        <c:manualLayout>
          <c:xMode val="edge"/>
          <c:yMode val="edge"/>
          <c:x val="0.6745"/>
          <c:y val="0.15825"/>
          <c:w val="0.30975"/>
          <c:h val="0.640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847725</xdr:colOff>
      <xdr:row>0</xdr:row>
      <xdr:rowOff>0</xdr:rowOff>
    </xdr:from>
    <xdr:to>
      <xdr:col>12</xdr:col>
      <xdr:colOff>219075</xdr:colOff>
      <xdr:row>7</xdr:row>
      <xdr:rowOff>66675</xdr:rowOff>
    </xdr:to>
    <xdr:pic>
      <xdr:nvPicPr>
        <xdr:cNvPr id="1" name="Picture 1" descr="FMG Logo.jpg"/>
        <xdr:cNvPicPr preferRelativeResize="1">
          <a:picLocks noChangeAspect="1"/>
        </xdr:cNvPicPr>
      </xdr:nvPicPr>
      <xdr:blipFill>
        <a:blip r:embed="rId1"/>
        <a:stretch>
          <a:fillRect/>
        </a:stretch>
      </xdr:blipFill>
      <xdr:spPr>
        <a:xfrm>
          <a:off x="6915150" y="0"/>
          <a:ext cx="154305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676275</xdr:colOff>
      <xdr:row>0</xdr:row>
      <xdr:rowOff>123825</xdr:rowOff>
    </xdr:from>
    <xdr:to>
      <xdr:col>15</xdr:col>
      <xdr:colOff>152400</xdr:colOff>
      <xdr:row>9</xdr:row>
      <xdr:rowOff>47625</xdr:rowOff>
    </xdr:to>
    <xdr:pic>
      <xdr:nvPicPr>
        <xdr:cNvPr id="1" name="Picture 5" descr="FMG Logo.jpg"/>
        <xdr:cNvPicPr preferRelativeResize="1">
          <a:picLocks noChangeAspect="1"/>
        </xdr:cNvPicPr>
      </xdr:nvPicPr>
      <xdr:blipFill>
        <a:blip r:embed="rId1"/>
        <a:stretch>
          <a:fillRect/>
        </a:stretch>
      </xdr:blipFill>
      <xdr:spPr>
        <a:xfrm>
          <a:off x="14487525" y="123825"/>
          <a:ext cx="1533525"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35</xdr:row>
      <xdr:rowOff>0</xdr:rowOff>
    </xdr:from>
    <xdr:to>
      <xdr:col>10</xdr:col>
      <xdr:colOff>0</xdr:colOff>
      <xdr:row>60</xdr:row>
      <xdr:rowOff>0</xdr:rowOff>
    </xdr:to>
    <xdr:graphicFrame>
      <xdr:nvGraphicFramePr>
        <xdr:cNvPr id="1" name="Chart 2"/>
        <xdr:cNvGraphicFramePr/>
      </xdr:nvGraphicFramePr>
      <xdr:xfrm>
        <a:off x="228600" y="3048000"/>
        <a:ext cx="10410825" cy="47625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61</xdr:row>
      <xdr:rowOff>28575</xdr:rowOff>
    </xdr:from>
    <xdr:to>
      <xdr:col>2</xdr:col>
      <xdr:colOff>4772025</xdr:colOff>
      <xdr:row>81</xdr:row>
      <xdr:rowOff>152400</xdr:rowOff>
    </xdr:to>
    <xdr:graphicFrame>
      <xdr:nvGraphicFramePr>
        <xdr:cNvPr id="2" name="Chart 3"/>
        <xdr:cNvGraphicFramePr/>
      </xdr:nvGraphicFramePr>
      <xdr:xfrm>
        <a:off x="266700" y="8029575"/>
        <a:ext cx="5067300" cy="3933825"/>
      </xdr:xfrm>
      <a:graphic>
        <a:graphicData uri="http://schemas.openxmlformats.org/drawingml/2006/chart">
          <c:chart xmlns:c="http://schemas.openxmlformats.org/drawingml/2006/chart" r:id="rId2"/>
        </a:graphicData>
      </a:graphic>
    </xdr:graphicFrame>
    <xdr:clientData/>
  </xdr:twoCellAnchor>
  <xdr:twoCellAnchor editAs="oneCell">
    <xdr:from>
      <xdr:col>12</xdr:col>
      <xdr:colOff>152400</xdr:colOff>
      <xdr:row>0</xdr:row>
      <xdr:rowOff>152400</xdr:rowOff>
    </xdr:from>
    <xdr:to>
      <xdr:col>14</xdr:col>
      <xdr:colOff>38100</xdr:colOff>
      <xdr:row>9</xdr:row>
      <xdr:rowOff>76200</xdr:rowOff>
    </xdr:to>
    <xdr:pic>
      <xdr:nvPicPr>
        <xdr:cNvPr id="3" name="Picture 8" descr="FMG Logo.jpg"/>
        <xdr:cNvPicPr preferRelativeResize="1">
          <a:picLocks noChangeAspect="1"/>
        </xdr:cNvPicPr>
      </xdr:nvPicPr>
      <xdr:blipFill>
        <a:blip r:embed="rId3"/>
        <a:stretch>
          <a:fillRect/>
        </a:stretch>
      </xdr:blipFill>
      <xdr:spPr>
        <a:xfrm>
          <a:off x="12468225" y="152400"/>
          <a:ext cx="1562100" cy="1381125"/>
        </a:xfrm>
        <a:prstGeom prst="rect">
          <a:avLst/>
        </a:prstGeom>
        <a:noFill/>
        <a:ln w="9525" cmpd="sng">
          <a:noFill/>
        </a:ln>
      </xdr:spPr>
    </xdr:pic>
    <xdr:clientData/>
  </xdr:twoCellAnchor>
  <xdr:twoCellAnchor>
    <xdr:from>
      <xdr:col>4</xdr:col>
      <xdr:colOff>47625</xdr:colOff>
      <xdr:row>61</xdr:row>
      <xdr:rowOff>66675</xdr:rowOff>
    </xdr:from>
    <xdr:to>
      <xdr:col>9</xdr:col>
      <xdr:colOff>771525</xdr:colOff>
      <xdr:row>81</xdr:row>
      <xdr:rowOff>133350</xdr:rowOff>
    </xdr:to>
    <xdr:graphicFrame>
      <xdr:nvGraphicFramePr>
        <xdr:cNvPr id="4" name="Chart 3"/>
        <xdr:cNvGraphicFramePr/>
      </xdr:nvGraphicFramePr>
      <xdr:xfrm>
        <a:off x="5657850" y="8067675"/>
        <a:ext cx="4914900" cy="38766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1219200</xdr:colOff>
      <xdr:row>0</xdr:row>
      <xdr:rowOff>47625</xdr:rowOff>
    </xdr:from>
    <xdr:to>
      <xdr:col>19</xdr:col>
      <xdr:colOff>47625</xdr:colOff>
      <xdr:row>8</xdr:row>
      <xdr:rowOff>123825</xdr:rowOff>
    </xdr:to>
    <xdr:pic>
      <xdr:nvPicPr>
        <xdr:cNvPr id="1" name="Picture 23" descr="FMG Logo.jpg"/>
        <xdr:cNvPicPr preferRelativeResize="1">
          <a:picLocks noChangeAspect="1"/>
        </xdr:cNvPicPr>
      </xdr:nvPicPr>
      <xdr:blipFill>
        <a:blip r:embed="rId1"/>
        <a:stretch>
          <a:fillRect/>
        </a:stretch>
      </xdr:blipFill>
      <xdr:spPr>
        <a:xfrm>
          <a:off x="11020425" y="47625"/>
          <a:ext cx="13239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002060"/>
    <pageSetUpPr fitToPage="1"/>
  </sheetPr>
  <dimension ref="A8:O31"/>
  <sheetViews>
    <sheetView tabSelected="1" zoomScale="75" zoomScaleNormal="75" zoomScaleSheetLayoutView="75" zoomScalePageLayoutView="0" workbookViewId="0" topLeftCell="A1">
      <selection activeCell="A10" sqref="A10:M10"/>
    </sheetView>
  </sheetViews>
  <sheetFormatPr defaultColWidth="11.421875" defaultRowHeight="12.75"/>
  <cols>
    <col min="1" max="2" width="9.7109375" style="257" customWidth="1"/>
    <col min="3" max="3" width="3.421875" style="257" customWidth="1"/>
    <col min="4" max="4" width="11.421875" style="257" customWidth="1"/>
    <col min="5" max="5" width="10.421875" style="257" customWidth="1"/>
    <col min="6" max="6" width="10.00390625" style="257" customWidth="1"/>
    <col min="7" max="8" width="11.421875" style="257" customWidth="1"/>
    <col min="9" max="9" width="13.421875" style="257" customWidth="1"/>
    <col min="10" max="10" width="18.421875" style="257" customWidth="1"/>
    <col min="11" max="11" width="4.421875" style="257" customWidth="1"/>
    <col min="12" max="13" width="9.7109375" style="257" customWidth="1"/>
    <col min="14" max="14" width="3.7109375" style="257" customWidth="1"/>
    <col min="15" max="16384" width="11.421875" style="257" customWidth="1"/>
  </cols>
  <sheetData>
    <row r="1" ht="14.25" customHeight="1"/>
    <row r="2" ht="14.25" customHeight="1"/>
    <row r="3" ht="14.25" customHeight="1"/>
    <row r="4" ht="14.25" customHeight="1"/>
    <row r="5" ht="14.25" customHeight="1"/>
    <row r="6" ht="15"/>
    <row r="7" ht="15"/>
    <row r="8" spans="1:13" ht="38.25" customHeight="1">
      <c r="A8" s="332" t="s">
        <v>292</v>
      </c>
      <c r="B8" s="332"/>
      <c r="C8" s="332"/>
      <c r="D8" s="332"/>
      <c r="E8" s="332"/>
      <c r="F8" s="332"/>
      <c r="G8" s="332"/>
      <c r="H8" s="332"/>
      <c r="I8" s="332"/>
      <c r="J8" s="332"/>
      <c r="K8" s="332"/>
      <c r="L8" s="332"/>
      <c r="M8" s="332"/>
    </row>
    <row r="9" spans="1:13" ht="6" customHeight="1">
      <c r="A9" s="332"/>
      <c r="B9" s="332"/>
      <c r="C9" s="332"/>
      <c r="D9" s="332"/>
      <c r="E9" s="332"/>
      <c r="F9" s="332"/>
      <c r="G9" s="332"/>
      <c r="H9" s="332"/>
      <c r="I9" s="332"/>
      <c r="J9" s="332"/>
      <c r="K9" s="332"/>
      <c r="L9" s="332"/>
      <c r="M9" s="332"/>
    </row>
    <row r="10" spans="1:13" ht="39" customHeight="1">
      <c r="A10" s="332" t="s">
        <v>351</v>
      </c>
      <c r="B10" s="332"/>
      <c r="C10" s="332"/>
      <c r="D10" s="332"/>
      <c r="E10" s="332"/>
      <c r="F10" s="332"/>
      <c r="G10" s="332"/>
      <c r="H10" s="332"/>
      <c r="I10" s="332"/>
      <c r="J10" s="332"/>
      <c r="K10" s="332"/>
      <c r="L10" s="332"/>
      <c r="M10" s="332"/>
    </row>
    <row r="13" ht="15" hidden="1"/>
    <row r="14" spans="1:15" ht="23.25" hidden="1">
      <c r="A14" s="258"/>
      <c r="B14" s="258"/>
      <c r="C14" s="258"/>
      <c r="D14" s="258"/>
      <c r="E14" s="259" t="s">
        <v>53</v>
      </c>
      <c r="F14" s="330" t="s">
        <v>225</v>
      </c>
      <c r="G14" s="331"/>
      <c r="H14" s="260"/>
      <c r="I14" s="259" t="s">
        <v>54</v>
      </c>
      <c r="J14" s="261" t="s">
        <v>291</v>
      </c>
      <c r="L14" s="258"/>
      <c r="M14" s="258"/>
      <c r="N14" s="258"/>
      <c r="O14" s="258"/>
    </row>
    <row r="15" ht="15" hidden="1"/>
    <row r="16" spans="1:13" ht="25.5" customHeight="1" hidden="1">
      <c r="A16" s="329" t="e">
        <f ca="1">IF(#REF!="FINAL",TODAY(),"")</f>
        <v>#REF!</v>
      </c>
      <c r="B16" s="329"/>
      <c r="C16" s="329"/>
      <c r="D16" s="329"/>
      <c r="E16" s="329"/>
      <c r="F16" s="329"/>
      <c r="G16" s="329"/>
      <c r="H16" s="329"/>
      <c r="I16" s="329"/>
      <c r="J16" s="329"/>
      <c r="K16" s="329"/>
      <c r="L16" s="329"/>
      <c r="M16" s="329"/>
    </row>
    <row r="17" spans="3:11" ht="7.5" customHeight="1">
      <c r="C17" s="265"/>
      <c r="D17" s="266"/>
      <c r="E17" s="266"/>
      <c r="F17" s="266"/>
      <c r="G17" s="266"/>
      <c r="H17" s="266"/>
      <c r="I17" s="266"/>
      <c r="J17" s="266"/>
      <c r="K17" s="267"/>
    </row>
    <row r="18" spans="3:11" ht="24" customHeight="1">
      <c r="C18" s="268"/>
      <c r="D18" s="269"/>
      <c r="E18" s="270" t="s">
        <v>81</v>
      </c>
      <c r="F18" s="269"/>
      <c r="G18" s="269"/>
      <c r="H18" s="269"/>
      <c r="I18" s="269"/>
      <c r="J18" s="269"/>
      <c r="K18" s="271"/>
    </row>
    <row r="19" spans="3:11" ht="7.5" customHeight="1">
      <c r="C19" s="268"/>
      <c r="D19" s="269"/>
      <c r="E19" s="269"/>
      <c r="F19" s="269"/>
      <c r="G19" s="269"/>
      <c r="H19" s="269"/>
      <c r="I19" s="269"/>
      <c r="J19" s="269"/>
      <c r="K19" s="271"/>
    </row>
    <row r="20" spans="3:11" ht="23.25" customHeight="1">
      <c r="C20" s="268"/>
      <c r="D20" s="269"/>
      <c r="E20" s="272" t="s">
        <v>82</v>
      </c>
      <c r="F20" s="269"/>
      <c r="G20" s="269"/>
      <c r="H20" s="269"/>
      <c r="I20" s="269"/>
      <c r="J20" s="269"/>
      <c r="K20" s="271"/>
    </row>
    <row r="21" spans="3:11" ht="24" customHeight="1">
      <c r="C21" s="268"/>
      <c r="D21" s="269"/>
      <c r="E21" s="273" t="s">
        <v>83</v>
      </c>
      <c r="F21" s="273" t="s">
        <v>84</v>
      </c>
      <c r="G21" s="269"/>
      <c r="H21" s="269"/>
      <c r="I21" s="269"/>
      <c r="J21" s="269"/>
      <c r="K21" s="271"/>
    </row>
    <row r="22" spans="3:11" ht="24" customHeight="1">
      <c r="C22" s="268"/>
      <c r="D22" s="269"/>
      <c r="E22" s="273" t="s">
        <v>85</v>
      </c>
      <c r="F22" s="273" t="s">
        <v>86</v>
      </c>
      <c r="G22" s="274"/>
      <c r="H22" s="274"/>
      <c r="I22" s="274"/>
      <c r="J22" s="274"/>
      <c r="K22" s="271"/>
    </row>
    <row r="23" spans="3:11" ht="24" customHeight="1">
      <c r="C23" s="268"/>
      <c r="D23" s="269"/>
      <c r="E23" s="273" t="s">
        <v>87</v>
      </c>
      <c r="F23" s="274" t="s">
        <v>208</v>
      </c>
      <c r="G23" s="274"/>
      <c r="H23" s="274"/>
      <c r="I23" s="274"/>
      <c r="J23" s="274"/>
      <c r="K23" s="271"/>
    </row>
    <row r="24" spans="3:11" ht="24" customHeight="1">
      <c r="C24" s="268"/>
      <c r="D24" s="269"/>
      <c r="E24" s="273" t="s">
        <v>250</v>
      </c>
      <c r="F24" s="274" t="s">
        <v>251</v>
      </c>
      <c r="G24" s="274"/>
      <c r="H24" s="274"/>
      <c r="I24" s="274"/>
      <c r="J24" s="274"/>
      <c r="K24" s="271"/>
    </row>
    <row r="25" spans="3:11" ht="17.25" customHeight="1">
      <c r="C25" s="275"/>
      <c r="D25" s="276"/>
      <c r="E25" s="276"/>
      <c r="F25" s="276"/>
      <c r="G25" s="276"/>
      <c r="H25" s="276"/>
      <c r="I25" s="276"/>
      <c r="J25" s="276"/>
      <c r="K25" s="277"/>
    </row>
    <row r="26" ht="17.25" customHeight="1"/>
    <row r="27" ht="8.25" customHeight="1"/>
    <row r="28" spans="1:13" ht="21" customHeight="1">
      <c r="A28" s="327" t="s">
        <v>89</v>
      </c>
      <c r="B28" s="328"/>
      <c r="C28" s="328"/>
      <c r="D28" s="328"/>
      <c r="E28" s="328"/>
      <c r="F28" s="328"/>
      <c r="G28" s="328"/>
      <c r="H28" s="328"/>
      <c r="I28" s="328"/>
      <c r="J28" s="328"/>
      <c r="K28" s="328"/>
      <c r="L28" s="328"/>
      <c r="M28" s="328"/>
    </row>
    <row r="29" spans="1:13" ht="15">
      <c r="A29" s="328"/>
      <c r="B29" s="328"/>
      <c r="C29" s="328"/>
      <c r="D29" s="328"/>
      <c r="E29" s="328"/>
      <c r="F29" s="328"/>
      <c r="G29" s="328"/>
      <c r="H29" s="328"/>
      <c r="I29" s="328"/>
      <c r="J29" s="328"/>
      <c r="K29" s="328"/>
      <c r="L29" s="328"/>
      <c r="M29" s="328"/>
    </row>
    <row r="30" spans="1:13" ht="15">
      <c r="A30" s="328"/>
      <c r="B30" s="328"/>
      <c r="C30" s="328"/>
      <c r="D30" s="328"/>
      <c r="E30" s="328"/>
      <c r="F30" s="328"/>
      <c r="G30" s="328"/>
      <c r="H30" s="328"/>
      <c r="I30" s="328"/>
      <c r="J30" s="328"/>
      <c r="K30" s="328"/>
      <c r="L30" s="328"/>
      <c r="M30" s="328"/>
    </row>
    <row r="31" spans="1:13" ht="27" customHeight="1">
      <c r="A31" s="328"/>
      <c r="B31" s="328"/>
      <c r="C31" s="328"/>
      <c r="D31" s="328"/>
      <c r="E31" s="328"/>
      <c r="F31" s="328"/>
      <c r="G31" s="328"/>
      <c r="H31" s="328"/>
      <c r="I31" s="328"/>
      <c r="J31" s="328"/>
      <c r="K31" s="328"/>
      <c r="L31" s="328"/>
      <c r="M31" s="328"/>
    </row>
  </sheetData>
  <sheetProtection/>
  <mergeCells count="6">
    <mergeCell ref="A28:M31"/>
    <mergeCell ref="A16:M16"/>
    <mergeCell ref="F14:G14"/>
    <mergeCell ref="A8:M8"/>
    <mergeCell ref="A10:M10"/>
    <mergeCell ref="A9:M9"/>
  </mergeCell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1"/>
  <drawing r:id="rId1"/>
</worksheet>
</file>

<file path=xl/worksheets/sheet10.xml><?xml version="1.0" encoding="utf-8"?>
<worksheet xmlns="http://schemas.openxmlformats.org/spreadsheetml/2006/main" xmlns:r="http://schemas.openxmlformats.org/officeDocument/2006/relationships">
  <sheetPr>
    <tabColor indexed="13"/>
  </sheetPr>
  <dimension ref="A1:M59"/>
  <sheetViews>
    <sheetView zoomScalePageLayoutView="0" workbookViewId="0" topLeftCell="A22">
      <selection activeCell="A48" sqref="A48"/>
    </sheetView>
  </sheetViews>
  <sheetFormatPr defaultColWidth="8.8515625" defaultRowHeight="12.75"/>
  <cols>
    <col min="1" max="1" width="41.8515625" style="10" customWidth="1"/>
    <col min="2" max="2" width="8.8515625" style="10" customWidth="1"/>
    <col min="3" max="3" width="12.140625" style="10" customWidth="1"/>
    <col min="4" max="16384" width="8.8515625" style="10" customWidth="1"/>
  </cols>
  <sheetData>
    <row r="1" ht="11.25">
      <c r="A1" s="33" t="e">
        <f>#REF!</f>
        <v>#REF!</v>
      </c>
    </row>
    <row r="2" ht="11.25">
      <c r="A2" s="30" t="str">
        <f>'Front Cover'!A10:M10</f>
        <v>Non-Asset Owning Club</v>
      </c>
    </row>
    <row r="3" spans="1:2" ht="11.25">
      <c r="A3" s="32" t="s">
        <v>217</v>
      </c>
      <c r="B3" s="186"/>
    </row>
    <row r="4" ht="11.25">
      <c r="A4" s="30"/>
    </row>
    <row r="5" spans="1:13" ht="11.25">
      <c r="A5" s="32"/>
      <c r="B5" s="169" t="s">
        <v>10</v>
      </c>
      <c r="C5" s="114"/>
      <c r="E5" s="115"/>
      <c r="F5" s="115"/>
      <c r="G5" s="115"/>
      <c r="H5" s="115"/>
      <c r="I5" s="115"/>
      <c r="J5" s="115"/>
      <c r="K5" s="115"/>
      <c r="L5" s="115"/>
      <c r="M5" s="115"/>
    </row>
    <row r="6" spans="1:13" ht="27.75" customHeight="1" thickBot="1">
      <c r="A6" s="316" t="s">
        <v>374</v>
      </c>
      <c r="B6" s="316" t="s">
        <v>341</v>
      </c>
      <c r="C6" s="370" t="s">
        <v>10</v>
      </c>
      <c r="E6" s="115"/>
      <c r="F6" s="115"/>
      <c r="G6" s="115"/>
      <c r="H6" s="115"/>
      <c r="I6" s="115"/>
      <c r="J6" s="115"/>
      <c r="K6" s="115"/>
      <c r="L6" s="115"/>
      <c r="M6" s="115"/>
    </row>
    <row r="7" spans="1:13" ht="15" customHeight="1">
      <c r="A7" s="31" t="s">
        <v>342</v>
      </c>
      <c r="B7" s="317">
        <v>6</v>
      </c>
      <c r="C7" s="371"/>
      <c r="E7" s="115"/>
      <c r="F7" s="115"/>
      <c r="G7" s="115"/>
      <c r="H7" s="115"/>
      <c r="I7" s="115"/>
      <c r="J7" s="115"/>
      <c r="K7" s="115"/>
      <c r="L7" s="115"/>
      <c r="M7" s="115"/>
    </row>
    <row r="8" spans="1:13" ht="12.75" customHeight="1">
      <c r="A8" s="31" t="s">
        <v>274</v>
      </c>
      <c r="B8" s="317">
        <v>40</v>
      </c>
      <c r="C8" s="31"/>
      <c r="E8" s="115"/>
      <c r="F8" s="115"/>
      <c r="G8" s="115"/>
      <c r="H8" s="115"/>
      <c r="I8" s="115"/>
      <c r="J8" s="115"/>
      <c r="K8" s="115"/>
      <c r="L8" s="115"/>
      <c r="M8" s="115"/>
    </row>
    <row r="9" spans="1:13" ht="11.25">
      <c r="A9" s="31" t="s">
        <v>337</v>
      </c>
      <c r="B9" s="307">
        <v>15</v>
      </c>
      <c r="C9" s="187"/>
      <c r="E9" s="115"/>
      <c r="F9" s="115"/>
      <c r="G9" s="115"/>
      <c r="H9" s="115"/>
      <c r="I9" s="115"/>
      <c r="J9" s="115"/>
      <c r="K9" s="115"/>
      <c r="L9" s="115"/>
      <c r="M9" s="115"/>
    </row>
    <row r="10" spans="1:13" ht="11.25">
      <c r="A10" s="31"/>
      <c r="B10" s="319">
        <f>B7*B8*B9</f>
        <v>3600</v>
      </c>
      <c r="C10" s="187"/>
      <c r="E10" s="115"/>
      <c r="F10" s="115"/>
      <c r="G10" s="115"/>
      <c r="H10" s="115"/>
      <c r="I10" s="115"/>
      <c r="J10" s="115"/>
      <c r="K10" s="115"/>
      <c r="L10" s="115"/>
      <c r="M10" s="115"/>
    </row>
    <row r="11" spans="1:13" ht="11.25">
      <c r="A11" s="31" t="s">
        <v>343</v>
      </c>
      <c r="B11" s="317">
        <v>0</v>
      </c>
      <c r="C11" s="187"/>
      <c r="E11" s="115"/>
      <c r="F11" s="115"/>
      <c r="G11" s="115"/>
      <c r="H11" s="115"/>
      <c r="I11" s="115"/>
      <c r="J11" s="115"/>
      <c r="K11" s="115"/>
      <c r="L11" s="115"/>
      <c r="M11" s="115"/>
    </row>
    <row r="12" spans="1:13" ht="11.25">
      <c r="A12" s="31" t="s">
        <v>274</v>
      </c>
      <c r="B12" s="317">
        <v>10</v>
      </c>
      <c r="C12" s="187"/>
      <c r="E12" s="115"/>
      <c r="F12" s="115"/>
      <c r="G12" s="115"/>
      <c r="H12" s="115"/>
      <c r="I12" s="115"/>
      <c r="J12" s="115"/>
      <c r="K12" s="115"/>
      <c r="L12" s="115"/>
      <c r="M12" s="115"/>
    </row>
    <row r="13" spans="1:13" ht="11.25">
      <c r="A13" s="31" t="s">
        <v>337</v>
      </c>
      <c r="B13" s="307">
        <v>15</v>
      </c>
      <c r="C13" s="114"/>
      <c r="E13" s="115"/>
      <c r="F13" s="115"/>
      <c r="G13" s="115"/>
      <c r="H13" s="115"/>
      <c r="I13" s="115"/>
      <c r="J13" s="115"/>
      <c r="K13" s="115"/>
      <c r="L13" s="115"/>
      <c r="M13" s="115"/>
    </row>
    <row r="14" spans="1:13" ht="11.25">
      <c r="A14" s="31"/>
      <c r="B14" s="319">
        <f>B11*B12*B13</f>
        <v>0</v>
      </c>
      <c r="C14" s="114"/>
      <c r="E14" s="115"/>
      <c r="F14" s="115"/>
      <c r="G14" s="115"/>
      <c r="H14" s="115"/>
      <c r="I14" s="115"/>
      <c r="J14" s="115"/>
      <c r="K14" s="115"/>
      <c r="L14" s="115"/>
      <c r="M14" s="115"/>
    </row>
    <row r="15" spans="1:13" ht="11.25">
      <c r="A15" s="31" t="s">
        <v>370</v>
      </c>
      <c r="B15" s="317">
        <f>('Input - Club Income'!B14+'Input - Club Income'!C14)</f>
        <v>30</v>
      </c>
      <c r="C15" s="187" t="s">
        <v>371</v>
      </c>
      <c r="E15" s="115"/>
      <c r="F15" s="115"/>
      <c r="G15" s="115"/>
      <c r="H15" s="115"/>
      <c r="I15" s="115"/>
      <c r="J15" s="115"/>
      <c r="K15" s="115"/>
      <c r="L15" s="115"/>
      <c r="M15" s="115"/>
    </row>
    <row r="16" spans="1:13" ht="11.25">
      <c r="A16" s="10" t="s">
        <v>372</v>
      </c>
      <c r="B16" s="307">
        <v>15</v>
      </c>
      <c r="C16" s="114"/>
      <c r="E16" s="115"/>
      <c r="F16" s="115"/>
      <c r="G16" s="115"/>
      <c r="H16" s="115"/>
      <c r="I16" s="115"/>
      <c r="J16" s="115"/>
      <c r="K16" s="115"/>
      <c r="L16" s="115"/>
      <c r="M16" s="115"/>
    </row>
    <row r="17" spans="2:13" ht="11.25">
      <c r="B17" s="319">
        <f>B15*B16</f>
        <v>450</v>
      </c>
      <c r="C17" s="114"/>
      <c r="E17" s="115"/>
      <c r="F17" s="115"/>
      <c r="G17" s="115"/>
      <c r="H17" s="115"/>
      <c r="I17" s="115"/>
      <c r="J17" s="115"/>
      <c r="K17" s="115"/>
      <c r="L17" s="115"/>
      <c r="M17" s="115"/>
    </row>
    <row r="18" spans="1:13" ht="11.25">
      <c r="A18" s="32"/>
      <c r="B18" s="320">
        <f>B10+B14+B17</f>
        <v>4050</v>
      </c>
      <c r="C18" s="114"/>
      <c r="E18" s="115"/>
      <c r="F18" s="115"/>
      <c r="G18" s="115"/>
      <c r="H18" s="115"/>
      <c r="I18" s="115"/>
      <c r="J18" s="115"/>
      <c r="K18" s="115"/>
      <c r="L18" s="115"/>
      <c r="M18" s="115"/>
    </row>
    <row r="19" spans="1:13" ht="11.25">
      <c r="A19" s="32"/>
      <c r="B19" s="188"/>
      <c r="C19" s="114"/>
      <c r="E19" s="115"/>
      <c r="F19" s="115"/>
      <c r="G19" s="115"/>
      <c r="H19" s="115"/>
      <c r="I19" s="115"/>
      <c r="J19" s="115"/>
      <c r="K19" s="115"/>
      <c r="L19" s="115"/>
      <c r="M19" s="115"/>
    </row>
    <row r="20" spans="1:13" ht="11.25">
      <c r="A20" s="367" t="s">
        <v>328</v>
      </c>
      <c r="B20" s="368" t="s">
        <v>277</v>
      </c>
      <c r="C20" s="114"/>
      <c r="E20" s="115"/>
      <c r="F20" s="115"/>
      <c r="G20" s="115"/>
      <c r="H20" s="115"/>
      <c r="I20" s="115"/>
      <c r="J20" s="115"/>
      <c r="K20" s="115"/>
      <c r="L20" s="115"/>
      <c r="M20" s="115"/>
    </row>
    <row r="21" spans="1:7" ht="11.25">
      <c r="A21" s="366"/>
      <c r="B21" s="369"/>
      <c r="C21" s="114"/>
      <c r="E21" s="115"/>
      <c r="F21" s="115"/>
      <c r="G21" s="115"/>
    </row>
    <row r="22" spans="1:7" ht="11.25">
      <c r="A22" s="31" t="s">
        <v>329</v>
      </c>
      <c r="B22" s="308">
        <v>1000</v>
      </c>
      <c r="C22" s="114"/>
      <c r="E22" s="115"/>
      <c r="F22" s="115"/>
      <c r="G22" s="115"/>
    </row>
    <row r="23" spans="1:7" ht="11.25">
      <c r="A23" s="31" t="s">
        <v>330</v>
      </c>
      <c r="B23" s="308">
        <v>500</v>
      </c>
      <c r="C23" s="114"/>
      <c r="E23" s="115"/>
      <c r="F23" s="115"/>
      <c r="G23" s="115"/>
    </row>
    <row r="24" spans="1:7" ht="11.25">
      <c r="A24" s="31" t="s">
        <v>331</v>
      </c>
      <c r="B24" s="308">
        <v>250</v>
      </c>
      <c r="C24" s="114"/>
      <c r="E24" s="115"/>
      <c r="F24" s="115"/>
      <c r="G24" s="115"/>
    </row>
    <row r="25" spans="1:7" ht="11.25">
      <c r="A25" s="10" t="s">
        <v>340</v>
      </c>
      <c r="B25" s="308">
        <f>('Input - Club Income'!B12+'Input - Club Income'!C12)*400</f>
        <v>1600</v>
      </c>
      <c r="C25" s="114"/>
      <c r="E25" s="115"/>
      <c r="F25" s="115"/>
      <c r="G25" s="115"/>
    </row>
    <row r="26" spans="1:7" ht="11.25">
      <c r="A26" s="31" t="s">
        <v>10</v>
      </c>
      <c r="B26" s="116">
        <f>SUM(B22:B24)</f>
        <v>1750</v>
      </c>
      <c r="C26" s="114"/>
      <c r="E26" s="115"/>
      <c r="F26" s="115"/>
      <c r="G26" s="115"/>
    </row>
    <row r="27" spans="1:7" ht="11.25">
      <c r="A27" s="32"/>
      <c r="B27" s="188"/>
      <c r="C27" s="114"/>
      <c r="E27" s="115"/>
      <c r="F27" s="115"/>
      <c r="G27" s="115"/>
    </row>
    <row r="28" spans="1:7" ht="11.25">
      <c r="A28" s="32"/>
      <c r="B28" s="188"/>
      <c r="C28" s="114"/>
      <c r="E28" s="115"/>
      <c r="F28" s="115"/>
      <c r="G28" s="115"/>
    </row>
    <row r="29" spans="1:7" ht="12.75" customHeight="1">
      <c r="A29" s="367" t="s">
        <v>224</v>
      </c>
      <c r="B29" s="368" t="s">
        <v>277</v>
      </c>
      <c r="C29" s="114"/>
      <c r="E29" s="115"/>
      <c r="F29" s="115"/>
      <c r="G29" s="115"/>
    </row>
    <row r="30" spans="1:7" ht="11.25">
      <c r="A30" s="366"/>
      <c r="B30" s="369"/>
      <c r="C30" s="114"/>
      <c r="E30" s="115"/>
      <c r="F30" s="115"/>
      <c r="G30" s="115"/>
    </row>
    <row r="31" spans="1:7" ht="11.25">
      <c r="A31" s="31"/>
      <c r="B31" s="116"/>
      <c r="C31" s="114"/>
      <c r="E31" s="115"/>
      <c r="F31" s="115"/>
      <c r="G31" s="115"/>
    </row>
    <row r="32" spans="1:7" ht="11.25">
      <c r="A32" s="32" t="s">
        <v>216</v>
      </c>
      <c r="B32" s="116"/>
      <c r="C32" s="114"/>
      <c r="E32" s="115"/>
      <c r="F32" s="115"/>
      <c r="G32" s="115"/>
    </row>
    <row r="33" spans="1:7" ht="11.25">
      <c r="A33" s="31" t="s">
        <v>216</v>
      </c>
      <c r="B33" s="308">
        <f>'Internal Use - SUMMARY'!H12*0.03</f>
        <v>952.686430056</v>
      </c>
      <c r="C33" s="189"/>
      <c r="E33" s="115"/>
      <c r="F33" s="115"/>
      <c r="G33" s="115"/>
    </row>
    <row r="34" spans="1:7" ht="11.25">
      <c r="A34" s="31" t="s">
        <v>223</v>
      </c>
      <c r="B34" s="308"/>
      <c r="C34" s="114"/>
      <c r="E34" s="115"/>
      <c r="F34" s="115"/>
      <c r="G34" s="115"/>
    </row>
    <row r="35" spans="1:7" s="29" customFormat="1" ht="11.25">
      <c r="A35" s="29" t="s">
        <v>57</v>
      </c>
      <c r="B35" s="117">
        <f>SUM(B33:B34)</f>
        <v>952.686430056</v>
      </c>
      <c r="C35" s="190"/>
      <c r="E35" s="115"/>
      <c r="F35" s="115"/>
      <c r="G35" s="115"/>
    </row>
    <row r="36" spans="1:7" ht="11.25">
      <c r="A36" s="30"/>
      <c r="B36" s="118"/>
      <c r="C36" s="187"/>
      <c r="E36" s="115"/>
      <c r="F36" s="115"/>
      <c r="G36" s="115"/>
    </row>
    <row r="37" spans="1:2" ht="11.25">
      <c r="A37" s="33" t="s">
        <v>222</v>
      </c>
      <c r="B37" s="118"/>
    </row>
    <row r="38" spans="1:2" ht="11.25">
      <c r="A38" s="10" t="s">
        <v>219</v>
      </c>
      <c r="B38" s="308">
        <v>600</v>
      </c>
    </row>
    <row r="39" spans="1:5" ht="11.25">
      <c r="A39" s="10" t="s">
        <v>220</v>
      </c>
      <c r="B39" s="308">
        <v>500</v>
      </c>
      <c r="E39" s="11"/>
    </row>
    <row r="40" spans="1:5" ht="11.25">
      <c r="A40" s="10" t="s">
        <v>221</v>
      </c>
      <c r="B40" s="308">
        <v>300</v>
      </c>
      <c r="E40" s="11"/>
    </row>
    <row r="41" spans="1:5" ht="11.25">
      <c r="A41" s="10" t="s">
        <v>218</v>
      </c>
      <c r="B41" s="308">
        <v>0</v>
      </c>
      <c r="E41" s="11"/>
    </row>
    <row r="42" spans="1:5" ht="11.25">
      <c r="A42" s="10" t="s">
        <v>223</v>
      </c>
      <c r="B42" s="308">
        <v>0</v>
      </c>
      <c r="E42" s="11"/>
    </row>
    <row r="43" spans="1:5" ht="11.25">
      <c r="A43" s="29" t="s">
        <v>57</v>
      </c>
      <c r="B43" s="116">
        <f>SUM(B38:B42)</f>
        <v>1400</v>
      </c>
      <c r="E43" s="11"/>
    </row>
    <row r="44" spans="2:5" ht="11.25">
      <c r="B44" s="118"/>
      <c r="E44" s="11"/>
    </row>
    <row r="45" spans="1:5" ht="11.25">
      <c r="A45" s="33" t="s">
        <v>40</v>
      </c>
      <c r="B45" s="118"/>
      <c r="E45" s="11"/>
    </row>
    <row r="46" spans="1:5" ht="11.25">
      <c r="A46" s="30" t="s">
        <v>383</v>
      </c>
      <c r="B46" s="308">
        <v>2500</v>
      </c>
      <c r="E46" s="11"/>
    </row>
    <row r="47" spans="1:5" ht="11.25">
      <c r="A47" s="10" t="s">
        <v>223</v>
      </c>
      <c r="B47" s="308">
        <v>500</v>
      </c>
      <c r="C47" s="186"/>
      <c r="E47" s="11"/>
    </row>
    <row r="48" spans="1:5" ht="11.25">
      <c r="A48" s="10" t="s">
        <v>223</v>
      </c>
      <c r="B48" s="308"/>
      <c r="E48" s="11"/>
    </row>
    <row r="49" spans="1:5" ht="11.25">
      <c r="A49" s="29" t="s">
        <v>57</v>
      </c>
      <c r="B49" s="116">
        <f>SUM(B46:B48)</f>
        <v>3000</v>
      </c>
      <c r="E49" s="11"/>
    </row>
    <row r="50" spans="2:5" ht="11.25">
      <c r="B50" s="118"/>
      <c r="E50" s="11"/>
    </row>
    <row r="51" spans="2:5" ht="11.25">
      <c r="B51" s="118"/>
      <c r="E51" s="11"/>
    </row>
    <row r="52" spans="2:5" ht="11.25">
      <c r="B52" s="118"/>
      <c r="E52" s="11"/>
    </row>
    <row r="53" spans="2:5" ht="11.25">
      <c r="B53" s="118"/>
      <c r="E53" s="11"/>
    </row>
    <row r="54" spans="2:5" ht="11.25">
      <c r="B54" s="118"/>
      <c r="E54" s="11"/>
    </row>
    <row r="55" spans="2:5" ht="11.25">
      <c r="B55" s="118"/>
      <c r="E55" s="11"/>
    </row>
    <row r="56" spans="2:5" ht="11.25">
      <c r="B56" s="118"/>
      <c r="E56" s="11"/>
    </row>
    <row r="57" spans="2:5" ht="11.25">
      <c r="B57" s="118"/>
      <c r="E57" s="11"/>
    </row>
    <row r="58" spans="2:5" ht="11.25">
      <c r="B58" s="118"/>
      <c r="E58" s="11"/>
    </row>
    <row r="59" ht="11.25">
      <c r="B59" s="118"/>
    </row>
  </sheetData>
  <sheetProtection/>
  <mergeCells count="5">
    <mergeCell ref="A29:A30"/>
    <mergeCell ref="B29:B30"/>
    <mergeCell ref="C6:C7"/>
    <mergeCell ref="A20:A21"/>
    <mergeCell ref="B20:B2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codeName="Sheet25">
    <tabColor theme="1" tint="0.49998000264167786"/>
  </sheetPr>
  <dimension ref="A1:M97"/>
  <sheetViews>
    <sheetView zoomScaleSheetLayoutView="75" zoomScalePageLayoutView="0" workbookViewId="0" topLeftCell="A84">
      <selection activeCell="F105" sqref="F105"/>
    </sheetView>
  </sheetViews>
  <sheetFormatPr defaultColWidth="11.421875" defaultRowHeight="12.75"/>
  <cols>
    <col min="1" max="1" width="23.28125" style="4" customWidth="1"/>
    <col min="2" max="2" width="9.00390625" style="3" customWidth="1"/>
    <col min="3" max="7" width="12.7109375" style="3" customWidth="1"/>
    <col min="8" max="16384" width="11.421875" style="3" customWidth="1"/>
  </cols>
  <sheetData>
    <row r="1" ht="18">
      <c r="A1" s="182" t="e">
        <f>#REF!</f>
        <v>#REF!</v>
      </c>
    </row>
    <row r="2" ht="12.75">
      <c r="A2" s="6" t="e">
        <f>#REF!</f>
        <v>#REF!</v>
      </c>
    </row>
    <row r="3" ht="15.75">
      <c r="A3" s="183" t="s">
        <v>45</v>
      </c>
    </row>
    <row r="6" spans="1:12" ht="28.5" customHeight="1">
      <c r="A6" s="291" t="s">
        <v>285</v>
      </c>
      <c r="B6" s="309"/>
      <c r="C6" s="278" t="s">
        <v>109</v>
      </c>
      <c r="D6" s="278" t="s">
        <v>110</v>
      </c>
      <c r="E6" s="278" t="s">
        <v>111</v>
      </c>
      <c r="F6" s="278" t="s">
        <v>112</v>
      </c>
      <c r="G6" s="278" t="s">
        <v>113</v>
      </c>
      <c r="H6" s="278" t="s">
        <v>266</v>
      </c>
      <c r="I6" s="278" t="s">
        <v>267</v>
      </c>
      <c r="J6" s="278" t="s">
        <v>268</v>
      </c>
      <c r="K6" s="278" t="s">
        <v>269</v>
      </c>
      <c r="L6" s="278" t="s">
        <v>270</v>
      </c>
    </row>
    <row r="7" ht="12.75">
      <c r="A7" s="5" t="s">
        <v>10</v>
      </c>
    </row>
    <row r="8" spans="1:12" ht="12.75">
      <c r="A8" s="9" t="s">
        <v>379</v>
      </c>
      <c r="C8" s="7">
        <f>'Internal Use - SUMMARY'!D13</f>
        <v>16500</v>
      </c>
      <c r="D8" s="7">
        <f>'Internal Use - SUMMARY'!E13</f>
        <v>16500</v>
      </c>
      <c r="E8" s="7">
        <f>'Internal Use - SUMMARY'!F13</f>
        <v>16500</v>
      </c>
      <c r="F8" s="7">
        <f>'Internal Use - SUMMARY'!G13</f>
        <v>16500</v>
      </c>
      <c r="G8" s="7">
        <f>'Internal Use - SUMMARY'!H13</f>
        <v>16500</v>
      </c>
      <c r="H8" s="7">
        <f>'Internal Use - SUMMARY'!I13</f>
        <v>16500</v>
      </c>
      <c r="I8" s="7">
        <f>'Internal Use - SUMMARY'!J13</f>
        <v>16500</v>
      </c>
      <c r="J8" s="7">
        <f>'Internal Use - SUMMARY'!K13</f>
        <v>16500</v>
      </c>
      <c r="K8" s="7">
        <f>'Internal Use - SUMMARY'!L13</f>
        <v>16500</v>
      </c>
      <c r="L8" s="7">
        <f>'Internal Use - SUMMARY'!M13</f>
        <v>16500</v>
      </c>
    </row>
    <row r="9" ht="12.75">
      <c r="A9" s="5"/>
    </row>
    <row r="10" ht="12.75">
      <c r="A10" s="9" t="s">
        <v>26</v>
      </c>
    </row>
    <row r="11" spans="1:12" ht="12.75">
      <c r="A11" s="6" t="s">
        <v>35</v>
      </c>
      <c r="C11" s="7">
        <f>'Internal Use - SUMMARY'!D14</f>
        <v>4050</v>
      </c>
      <c r="D11" s="7">
        <f>'Internal Use - SUMMARY'!E14</f>
        <v>4050</v>
      </c>
      <c r="E11" s="7">
        <f>'Internal Use - SUMMARY'!F14</f>
        <v>4050</v>
      </c>
      <c r="F11" s="7">
        <f>'Internal Use - SUMMARY'!G14</f>
        <v>4050</v>
      </c>
      <c r="G11" s="7">
        <f>'Internal Use - SUMMARY'!H14</f>
        <v>4050</v>
      </c>
      <c r="H11" s="7">
        <f>'Internal Use - SUMMARY'!I14</f>
        <v>4050</v>
      </c>
      <c r="I11" s="7">
        <f>'Internal Use - SUMMARY'!J14</f>
        <v>4050</v>
      </c>
      <c r="J11" s="7">
        <f>'Internal Use - SUMMARY'!K14</f>
        <v>4050</v>
      </c>
      <c r="K11" s="7">
        <f>'Internal Use - SUMMARY'!L14</f>
        <v>4050</v>
      </c>
      <c r="L11" s="7">
        <f>'Internal Use - SUMMARY'!M14</f>
        <v>4050</v>
      </c>
    </row>
    <row r="12" spans="1:7" ht="12.75">
      <c r="A12" s="191"/>
      <c r="C12" s="7"/>
      <c r="D12" s="7"/>
      <c r="E12" s="7"/>
      <c r="F12" s="7"/>
      <c r="G12" s="7"/>
    </row>
    <row r="13" spans="1:13" ht="12.75">
      <c r="A13" s="11" t="s">
        <v>37</v>
      </c>
      <c r="C13" s="7">
        <f>'Internal Use - SUMMARY'!D16</f>
        <v>614.4</v>
      </c>
      <c r="D13" s="7">
        <f>'Internal Use - SUMMARY'!E16</f>
        <v>619.504</v>
      </c>
      <c r="E13" s="7">
        <f>'Internal Use - SUMMARY'!F16</f>
        <v>624.65904</v>
      </c>
      <c r="F13" s="168">
        <f>'Internal Use - SUMMARY'!G16</f>
        <v>629.8656304000001</v>
      </c>
      <c r="G13" s="7">
        <f>'Internal Use - SUMMARY'!H16</f>
        <v>635.1242867039999</v>
      </c>
      <c r="H13" s="7">
        <f>'Internal Use - SUMMARY'!I16</f>
        <v>640.4355295710401</v>
      </c>
      <c r="I13" s="7">
        <f>'Internal Use - SUMMARY'!J16</f>
        <v>645.7998848667505</v>
      </c>
      <c r="J13" s="7">
        <f>'Internal Use - SUMMARY'!K16</f>
        <v>651.217883715418</v>
      </c>
      <c r="K13" s="7">
        <f>'Internal Use - SUMMARY'!L16</f>
        <v>656.6900625525722</v>
      </c>
      <c r="L13" s="7">
        <f>'Internal Use - SUMMARY'!M16</f>
        <v>662.2169631780978</v>
      </c>
      <c r="M13" s="7"/>
    </row>
    <row r="14" spans="1:13" ht="12.75">
      <c r="A14" s="11"/>
      <c r="C14" s="7"/>
      <c r="D14" s="7"/>
      <c r="E14" s="7"/>
      <c r="F14" s="7"/>
      <c r="G14" s="7"/>
      <c r="H14" s="7"/>
      <c r="I14" s="7"/>
      <c r="J14" s="7"/>
      <c r="K14" s="7"/>
      <c r="L14" s="7"/>
      <c r="M14" s="7"/>
    </row>
    <row r="15" spans="1:13" ht="12.75">
      <c r="A15" s="11" t="s">
        <v>38</v>
      </c>
      <c r="C15" s="7"/>
      <c r="D15" s="7"/>
      <c r="E15" s="7"/>
      <c r="F15" s="7"/>
      <c r="G15" s="7"/>
      <c r="H15" s="7"/>
      <c r="I15" s="7"/>
      <c r="J15" s="7"/>
      <c r="K15" s="7"/>
      <c r="L15" s="7"/>
      <c r="M15" s="7"/>
    </row>
    <row r="16" spans="1:13" ht="12.75">
      <c r="A16" s="11" t="s">
        <v>328</v>
      </c>
      <c r="C16" s="7">
        <f>'Internal Use - SUMMARY'!D17</f>
        <v>1750</v>
      </c>
      <c r="D16" s="7">
        <f>'Internal Use - SUMMARY'!E17</f>
        <v>1750</v>
      </c>
      <c r="E16" s="7">
        <f>'Internal Use - SUMMARY'!F17</f>
        <v>1750</v>
      </c>
      <c r="F16" s="7">
        <f>'Internal Use - SUMMARY'!G17</f>
        <v>1750</v>
      </c>
      <c r="G16" s="7">
        <f>'Internal Use - SUMMARY'!H17</f>
        <v>1750</v>
      </c>
      <c r="H16" s="7">
        <f>'Internal Use - SUMMARY'!I17</f>
        <v>1750</v>
      </c>
      <c r="I16" s="7">
        <f>'Internal Use - SUMMARY'!J17</f>
        <v>1750</v>
      </c>
      <c r="J16" s="7">
        <f>'Internal Use - SUMMARY'!K17</f>
        <v>1750</v>
      </c>
      <c r="K16" s="7">
        <f>'Internal Use - SUMMARY'!L17</f>
        <v>1750</v>
      </c>
      <c r="L16" s="7">
        <f>'Internal Use - SUMMARY'!M17</f>
        <v>1750</v>
      </c>
      <c r="M16" s="7"/>
    </row>
    <row r="17" spans="1:13" ht="12.75">
      <c r="A17" s="11" t="s">
        <v>39</v>
      </c>
      <c r="C17" s="7">
        <f>'Internal Use - SUMMARY'!D18</f>
        <v>952.686430056</v>
      </c>
      <c r="D17" s="7">
        <f>'Internal Use - SUMMARY'!E18</f>
        <v>952.686430056</v>
      </c>
      <c r="E17" s="7">
        <f>'Internal Use - SUMMARY'!F18</f>
        <v>952.686430056</v>
      </c>
      <c r="F17" s="7">
        <f>'Internal Use - SUMMARY'!G18</f>
        <v>952.686430056</v>
      </c>
      <c r="G17" s="7">
        <f>'Internal Use - SUMMARY'!H18</f>
        <v>952.686430056</v>
      </c>
      <c r="H17" s="7">
        <f>'Internal Use - SUMMARY'!I18</f>
        <v>952.686430056</v>
      </c>
      <c r="I17" s="7">
        <f>'Internal Use - SUMMARY'!J18</f>
        <v>952.686430056</v>
      </c>
      <c r="J17" s="7">
        <f>'Internal Use - SUMMARY'!K18</f>
        <v>952.686430056</v>
      </c>
      <c r="K17" s="7">
        <f>'Internal Use - SUMMARY'!L18</f>
        <v>952.686430056</v>
      </c>
      <c r="L17" s="7">
        <f>'Internal Use - SUMMARY'!M18</f>
        <v>952.686430056</v>
      </c>
      <c r="M17" s="7"/>
    </row>
    <row r="18" spans="1:13" ht="12.75">
      <c r="A18" s="11" t="s">
        <v>43</v>
      </c>
      <c r="C18" s="7">
        <f>'Internal Use - SUMMARY'!D19</f>
        <v>1400</v>
      </c>
      <c r="D18" s="7">
        <f>'Internal Use - SUMMARY'!E19</f>
        <v>1400</v>
      </c>
      <c r="E18" s="7">
        <f>'Internal Use - SUMMARY'!F19</f>
        <v>1400</v>
      </c>
      <c r="F18" s="7">
        <f>'Internal Use - SUMMARY'!G19</f>
        <v>1400</v>
      </c>
      <c r="G18" s="7">
        <f>'Internal Use - SUMMARY'!H19</f>
        <v>1400</v>
      </c>
      <c r="H18" s="7">
        <f>'Internal Use - SUMMARY'!I19</f>
        <v>1400</v>
      </c>
      <c r="I18" s="7">
        <f>'Internal Use - SUMMARY'!J19</f>
        <v>1400</v>
      </c>
      <c r="J18" s="7">
        <f>'Internal Use - SUMMARY'!K19</f>
        <v>1400</v>
      </c>
      <c r="K18" s="7">
        <f>'Internal Use - SUMMARY'!L19</f>
        <v>1400</v>
      </c>
      <c r="L18" s="7">
        <f>'Internal Use - SUMMARY'!M19</f>
        <v>1400</v>
      </c>
      <c r="M18" s="7"/>
    </row>
    <row r="19" spans="1:13" ht="12.75">
      <c r="A19" s="11" t="s">
        <v>103</v>
      </c>
      <c r="C19" s="7">
        <f>'Internal Use - SUMMARY'!D20</f>
        <v>3000</v>
      </c>
      <c r="D19" s="7">
        <f>'Internal Use - SUMMARY'!E20</f>
        <v>3000</v>
      </c>
      <c r="E19" s="7">
        <f>'Internal Use - SUMMARY'!F20</f>
        <v>3000</v>
      </c>
      <c r="F19" s="7">
        <f>'Internal Use - SUMMARY'!G20</f>
        <v>3000</v>
      </c>
      <c r="G19" s="7">
        <f>'Internal Use - SUMMARY'!H20</f>
        <v>3000</v>
      </c>
      <c r="H19" s="7">
        <f>'Internal Use - SUMMARY'!I20</f>
        <v>3000</v>
      </c>
      <c r="I19" s="7">
        <f>'Internal Use - SUMMARY'!J20</f>
        <v>3000</v>
      </c>
      <c r="J19" s="7">
        <f>'Internal Use - SUMMARY'!K20</f>
        <v>3000</v>
      </c>
      <c r="K19" s="7">
        <f>'Internal Use - SUMMARY'!L20</f>
        <v>3000</v>
      </c>
      <c r="L19" s="7">
        <f>'Internal Use - SUMMARY'!M20</f>
        <v>3000</v>
      </c>
      <c r="M19" s="7"/>
    </row>
    <row r="20" spans="1:13" ht="12.75">
      <c r="A20" s="11"/>
      <c r="C20" s="7"/>
      <c r="D20" s="7"/>
      <c r="E20" s="7"/>
      <c r="F20" s="7"/>
      <c r="G20" s="7"/>
      <c r="H20" s="7"/>
      <c r="I20" s="7"/>
      <c r="J20" s="7"/>
      <c r="K20" s="7"/>
      <c r="L20" s="7"/>
      <c r="M20" s="7"/>
    </row>
    <row r="21" spans="1:13" ht="12.75">
      <c r="A21" s="11"/>
      <c r="C21" s="7"/>
      <c r="D21" s="7"/>
      <c r="E21" s="7"/>
      <c r="F21" s="7"/>
      <c r="G21" s="7"/>
      <c r="H21" s="7"/>
      <c r="I21" s="7"/>
      <c r="J21" s="7"/>
      <c r="K21" s="7"/>
      <c r="L21" s="7"/>
      <c r="M21" s="7"/>
    </row>
    <row r="22" spans="1:13" ht="12.75">
      <c r="A22" s="11" t="s">
        <v>104</v>
      </c>
      <c r="C22" s="7"/>
      <c r="D22" s="7"/>
      <c r="E22" s="7"/>
      <c r="F22" s="7"/>
      <c r="G22" s="7"/>
      <c r="H22" s="7"/>
      <c r="I22" s="7"/>
      <c r="J22" s="7"/>
      <c r="K22" s="7"/>
      <c r="L22" s="7"/>
      <c r="M22" s="7"/>
    </row>
    <row r="23" spans="1:13" ht="12.75">
      <c r="A23" s="11" t="s">
        <v>41</v>
      </c>
      <c r="C23" s="7">
        <f>'Internal Use - SUMMARY'!D21</f>
        <v>0</v>
      </c>
      <c r="D23" s="7">
        <f>'Internal Use - SUMMARY'!E21</f>
        <v>0</v>
      </c>
      <c r="E23" s="7">
        <f>'Internal Use - SUMMARY'!F21</f>
        <v>0</v>
      </c>
      <c r="F23" s="7">
        <f>'Internal Use - SUMMARY'!G21</f>
        <v>0</v>
      </c>
      <c r="G23" s="7">
        <f>'Internal Use - SUMMARY'!H21</f>
        <v>0</v>
      </c>
      <c r="H23" s="7">
        <f>'Internal Use - SUMMARY'!I21</f>
        <v>0</v>
      </c>
      <c r="I23" s="7">
        <f>'Internal Use - SUMMARY'!J21</f>
        <v>0</v>
      </c>
      <c r="J23" s="7">
        <f>'Internal Use - SUMMARY'!K21</f>
        <v>0</v>
      </c>
      <c r="K23" s="7">
        <f>'Internal Use - SUMMARY'!L21</f>
        <v>0</v>
      </c>
      <c r="L23" s="7">
        <f>'Internal Use - SUMMARY'!M21</f>
        <v>0</v>
      </c>
      <c r="M23" s="7"/>
    </row>
    <row r="24" spans="1:13" ht="12.75">
      <c r="A24" s="11" t="s">
        <v>11</v>
      </c>
      <c r="C24" s="7"/>
      <c r="D24" s="7"/>
      <c r="E24" s="7"/>
      <c r="F24" s="7"/>
      <c r="G24" s="7"/>
      <c r="H24" s="7"/>
      <c r="I24" s="7"/>
      <c r="J24" s="7"/>
      <c r="K24" s="7"/>
      <c r="L24" s="7"/>
      <c r="M24" s="7"/>
    </row>
    <row r="25" spans="1:13" ht="12.75">
      <c r="A25" s="11" t="s">
        <v>42</v>
      </c>
      <c r="C25" s="7">
        <f>'Internal Use - SUMMARY'!D23</f>
        <v>0</v>
      </c>
      <c r="D25" s="7">
        <f>'Internal Use - SUMMARY'!E23</f>
        <v>0</v>
      </c>
      <c r="E25" s="7">
        <f>'Internal Use - SUMMARY'!F23</f>
        <v>0</v>
      </c>
      <c r="F25" s="7">
        <f>'Internal Use - SUMMARY'!G23</f>
        <v>0</v>
      </c>
      <c r="G25" s="7">
        <f>'Internal Use - SUMMARY'!H23</f>
        <v>0</v>
      </c>
      <c r="H25" s="7">
        <f>'Internal Use - SUMMARY'!I23</f>
        <v>0</v>
      </c>
      <c r="I25" s="7">
        <f>'Internal Use - SUMMARY'!J23</f>
        <v>0</v>
      </c>
      <c r="J25" s="7">
        <f>'Internal Use - SUMMARY'!K23</f>
        <v>0</v>
      </c>
      <c r="K25" s="7">
        <f>'Internal Use - SUMMARY'!L23</f>
        <v>0</v>
      </c>
      <c r="L25" s="7">
        <f>'Internal Use - SUMMARY'!M23</f>
        <v>0</v>
      </c>
      <c r="M25" s="7"/>
    </row>
    <row r="27" spans="1:12" ht="12.75">
      <c r="A27" s="192" t="s">
        <v>4</v>
      </c>
      <c r="B27" s="8"/>
      <c r="C27" s="193">
        <f aca="true" t="shared" si="0" ref="C27:L27">SUM(C11:C25)</f>
        <v>11767.086430055999</v>
      </c>
      <c r="D27" s="193">
        <f t="shared" si="0"/>
        <v>11772.190430056</v>
      </c>
      <c r="E27" s="193">
        <f t="shared" si="0"/>
        <v>11777.345470056</v>
      </c>
      <c r="F27" s="193">
        <f t="shared" si="0"/>
        <v>11782.552060456</v>
      </c>
      <c r="G27" s="193">
        <f t="shared" si="0"/>
        <v>11787.81071676</v>
      </c>
      <c r="H27" s="193">
        <f t="shared" si="0"/>
        <v>11793.12195962704</v>
      </c>
      <c r="I27" s="193">
        <f t="shared" si="0"/>
        <v>11798.48631492275</v>
      </c>
      <c r="J27" s="193">
        <f t="shared" si="0"/>
        <v>11803.904313771418</v>
      </c>
      <c r="K27" s="193">
        <f t="shared" si="0"/>
        <v>11809.376492608571</v>
      </c>
      <c r="L27" s="193">
        <f t="shared" si="0"/>
        <v>11814.903393234097</v>
      </c>
    </row>
    <row r="30" ht="12.75">
      <c r="A30" s="5" t="s">
        <v>46</v>
      </c>
    </row>
    <row r="31" spans="1:2" ht="12.75">
      <c r="A31" s="6" t="s">
        <v>379</v>
      </c>
      <c r="B31" s="194">
        <f>'Input Flags'!I18</f>
        <v>0.2</v>
      </c>
    </row>
    <row r="32" spans="1:2" ht="12.75">
      <c r="A32" s="11" t="s">
        <v>47</v>
      </c>
      <c r="B32" s="194">
        <f>'Input Flags'!I16</f>
        <v>0.2</v>
      </c>
    </row>
    <row r="33" spans="1:2" ht="12.75">
      <c r="A33" s="11" t="s">
        <v>39</v>
      </c>
      <c r="B33" s="194">
        <f>'Input Flags'!I17</f>
        <v>0.06</v>
      </c>
    </row>
    <row r="34" spans="1:4" ht="12.75">
      <c r="A34" s="11" t="s">
        <v>7</v>
      </c>
      <c r="B34" s="194">
        <f>'Input Flags'!I18</f>
        <v>0.2</v>
      </c>
      <c r="D34" s="3" t="s">
        <v>10</v>
      </c>
    </row>
    <row r="35" spans="1:2" ht="12.75">
      <c r="A35" s="11" t="s">
        <v>8</v>
      </c>
      <c r="B35" s="194">
        <f>'Input Flags'!I19</f>
        <v>0.2</v>
      </c>
    </row>
    <row r="36" spans="1:2" ht="12.75">
      <c r="A36" s="11" t="s">
        <v>43</v>
      </c>
      <c r="B36" s="194">
        <f>'Input Flags'!I20</f>
        <v>0.2</v>
      </c>
    </row>
    <row r="37" spans="1:2" ht="12.75">
      <c r="A37" s="11" t="s">
        <v>40</v>
      </c>
      <c r="B37" s="194">
        <f>'Input Flags'!I21</f>
        <v>0.2</v>
      </c>
    </row>
    <row r="38" spans="1:2" ht="12.75">
      <c r="A38" s="11" t="s">
        <v>48</v>
      </c>
      <c r="B38" s="194">
        <f>'Input Flags'!I22</f>
        <v>0.2</v>
      </c>
    </row>
    <row r="39" spans="1:2" ht="12.75">
      <c r="A39" s="11" t="s">
        <v>41</v>
      </c>
      <c r="B39" s="194">
        <f>'Input Flags'!I23</f>
        <v>0</v>
      </c>
    </row>
    <row r="40" spans="1:2" ht="12.75">
      <c r="A40" s="11" t="s">
        <v>42</v>
      </c>
      <c r="B40" s="195">
        <f>'Input Flags'!I24</f>
        <v>0</v>
      </c>
    </row>
    <row r="41" ht="12.75">
      <c r="A41" s="11" t="s">
        <v>10</v>
      </c>
    </row>
    <row r="42" ht="12.75">
      <c r="A42" s="11" t="s">
        <v>10</v>
      </c>
    </row>
    <row r="43" spans="1:12" ht="14.25" customHeight="1">
      <c r="A43" s="310" t="s">
        <v>49</v>
      </c>
      <c r="B43" s="311"/>
      <c r="C43" s="333" t="s">
        <v>109</v>
      </c>
      <c r="D43" s="333" t="s">
        <v>110</v>
      </c>
      <c r="E43" s="333" t="s">
        <v>111</v>
      </c>
      <c r="F43" s="333" t="s">
        <v>112</v>
      </c>
      <c r="G43" s="333" t="s">
        <v>113</v>
      </c>
      <c r="H43" s="333" t="s">
        <v>266</v>
      </c>
      <c r="I43" s="333" t="s">
        <v>267</v>
      </c>
      <c r="J43" s="333" t="s">
        <v>268</v>
      </c>
      <c r="K43" s="333" t="s">
        <v>269</v>
      </c>
      <c r="L43" s="333" t="s">
        <v>270</v>
      </c>
    </row>
    <row r="44" spans="1:12" ht="12.75">
      <c r="A44" s="312"/>
      <c r="B44" s="311"/>
      <c r="C44" s="334"/>
      <c r="D44" s="334"/>
      <c r="E44" s="334"/>
      <c r="F44" s="334"/>
      <c r="G44" s="334"/>
      <c r="H44" s="334"/>
      <c r="I44" s="334"/>
      <c r="J44" s="334"/>
      <c r="K44" s="334"/>
      <c r="L44" s="334"/>
    </row>
    <row r="45" ht="12.75">
      <c r="A45" s="5" t="s">
        <v>10</v>
      </c>
    </row>
    <row r="46" spans="1:12" ht="12.75">
      <c r="A46" s="6" t="s">
        <v>379</v>
      </c>
      <c r="C46" s="7">
        <f>C8*$B$31</f>
        <v>3300</v>
      </c>
      <c r="D46" s="7">
        <f aca="true" t="shared" si="1" ref="D46:L46">D8*$B$31</f>
        <v>3300</v>
      </c>
      <c r="E46" s="7">
        <f t="shared" si="1"/>
        <v>3300</v>
      </c>
      <c r="F46" s="7">
        <f t="shared" si="1"/>
        <v>3300</v>
      </c>
      <c r="G46" s="7">
        <f t="shared" si="1"/>
        <v>3300</v>
      </c>
      <c r="H46" s="7">
        <f t="shared" si="1"/>
        <v>3300</v>
      </c>
      <c r="I46" s="7">
        <f t="shared" si="1"/>
        <v>3300</v>
      </c>
      <c r="J46" s="7">
        <f t="shared" si="1"/>
        <v>3300</v>
      </c>
      <c r="K46" s="7">
        <f t="shared" si="1"/>
        <v>3300</v>
      </c>
      <c r="L46" s="7">
        <f t="shared" si="1"/>
        <v>3300</v>
      </c>
    </row>
    <row r="47" ht="12.75">
      <c r="A47" s="5"/>
    </row>
    <row r="48" ht="12.75">
      <c r="A48" s="6" t="s">
        <v>26</v>
      </c>
    </row>
    <row r="49" spans="1:12" ht="12.75">
      <c r="A49" s="6" t="s">
        <v>35</v>
      </c>
      <c r="C49" s="7">
        <v>0</v>
      </c>
      <c r="D49" s="7">
        <v>0</v>
      </c>
      <c r="E49" s="7">
        <v>0</v>
      </c>
      <c r="F49" s="7">
        <v>0</v>
      </c>
      <c r="G49" s="7">
        <v>0</v>
      </c>
      <c r="H49" s="7">
        <v>0</v>
      </c>
      <c r="I49" s="7">
        <v>0</v>
      </c>
      <c r="J49" s="7">
        <v>0</v>
      </c>
      <c r="K49" s="7">
        <v>0</v>
      </c>
      <c r="L49" s="7">
        <v>0</v>
      </c>
    </row>
    <row r="50" spans="1:7" ht="12.75">
      <c r="A50" s="191"/>
      <c r="C50" s="7"/>
      <c r="D50" s="7"/>
      <c r="E50" s="7"/>
      <c r="F50" s="7"/>
      <c r="G50" s="7"/>
    </row>
    <row r="51" spans="1:7" ht="12.75">
      <c r="A51" s="191" t="s">
        <v>33</v>
      </c>
      <c r="C51" s="7"/>
      <c r="D51" s="7"/>
      <c r="E51" s="7"/>
      <c r="F51" s="7"/>
      <c r="G51" s="7"/>
    </row>
    <row r="52" spans="1:7" ht="12.75">
      <c r="A52" s="191" t="s">
        <v>380</v>
      </c>
      <c r="C52" s="7"/>
      <c r="D52" s="7"/>
      <c r="E52" s="7"/>
      <c r="F52" s="7"/>
      <c r="G52" s="7"/>
    </row>
    <row r="53" spans="1:12" ht="12.75">
      <c r="A53" s="11"/>
      <c r="C53" s="7"/>
      <c r="D53" s="7"/>
      <c r="E53" s="7"/>
      <c r="F53" s="7"/>
      <c r="G53" s="7"/>
      <c r="H53" s="7"/>
      <c r="I53" s="7"/>
      <c r="J53" s="7"/>
      <c r="K53" s="7"/>
      <c r="L53" s="7"/>
    </row>
    <row r="54" spans="1:12" ht="12.75">
      <c r="A54" s="11" t="s">
        <v>37</v>
      </c>
      <c r="C54" s="7">
        <f aca="true" t="shared" si="2" ref="C54:L54">$B$32*C13</f>
        <v>122.88</v>
      </c>
      <c r="D54" s="7">
        <f t="shared" si="2"/>
        <v>123.9008</v>
      </c>
      <c r="E54" s="7">
        <f t="shared" si="2"/>
        <v>124.931808</v>
      </c>
      <c r="F54" s="7">
        <f t="shared" si="2"/>
        <v>125.97312608000003</v>
      </c>
      <c r="G54" s="7">
        <f t="shared" si="2"/>
        <v>127.0248573408</v>
      </c>
      <c r="H54" s="7">
        <f t="shared" si="2"/>
        <v>128.08710591420802</v>
      </c>
      <c r="I54" s="7">
        <f t="shared" si="2"/>
        <v>129.1599769733501</v>
      </c>
      <c r="J54" s="7">
        <f t="shared" si="2"/>
        <v>130.2435767430836</v>
      </c>
      <c r="K54" s="7">
        <f t="shared" si="2"/>
        <v>131.33801251051443</v>
      </c>
      <c r="L54" s="7">
        <f t="shared" si="2"/>
        <v>132.44339263561957</v>
      </c>
    </row>
    <row r="55" spans="1:12" ht="12.75">
      <c r="A55" s="11"/>
      <c r="C55" s="7"/>
      <c r="D55" s="7"/>
      <c r="E55" s="7"/>
      <c r="F55" s="7"/>
      <c r="G55" s="7"/>
      <c r="H55" s="7"/>
      <c r="I55" s="7"/>
      <c r="J55" s="7"/>
      <c r="K55" s="7"/>
      <c r="L55" s="7"/>
    </row>
    <row r="56" spans="1:12" ht="12.75">
      <c r="A56" s="11" t="s">
        <v>38</v>
      </c>
      <c r="C56" s="7"/>
      <c r="D56" s="7"/>
      <c r="E56" s="7"/>
      <c r="F56" s="7"/>
      <c r="G56" s="7"/>
      <c r="H56" s="7"/>
      <c r="I56" s="7"/>
      <c r="J56" s="7"/>
      <c r="K56" s="7"/>
      <c r="L56" s="7"/>
    </row>
    <row r="57" spans="1:12" ht="12.75">
      <c r="A57" s="11" t="s">
        <v>328</v>
      </c>
      <c r="C57" s="7">
        <f aca="true" t="shared" si="3" ref="C57:L57">$B$36*C16</f>
        <v>350</v>
      </c>
      <c r="D57" s="7">
        <f t="shared" si="3"/>
        <v>350</v>
      </c>
      <c r="E57" s="7">
        <f t="shared" si="3"/>
        <v>350</v>
      </c>
      <c r="F57" s="7">
        <f t="shared" si="3"/>
        <v>350</v>
      </c>
      <c r="G57" s="7">
        <f t="shared" si="3"/>
        <v>350</v>
      </c>
      <c r="H57" s="7">
        <f t="shared" si="3"/>
        <v>350</v>
      </c>
      <c r="I57" s="7">
        <f t="shared" si="3"/>
        <v>350</v>
      </c>
      <c r="J57" s="7">
        <f t="shared" si="3"/>
        <v>350</v>
      </c>
      <c r="K57" s="7">
        <f t="shared" si="3"/>
        <v>350</v>
      </c>
      <c r="L57" s="7">
        <f t="shared" si="3"/>
        <v>350</v>
      </c>
    </row>
    <row r="58" spans="1:12" ht="12.75">
      <c r="A58" s="11" t="s">
        <v>39</v>
      </c>
      <c r="C58" s="7">
        <f aca="true" t="shared" si="4" ref="C58:L58">$B$33*C17</f>
        <v>57.16118580335999</v>
      </c>
      <c r="D58" s="7">
        <f t="shared" si="4"/>
        <v>57.16118580335999</v>
      </c>
      <c r="E58" s="7">
        <f t="shared" si="4"/>
        <v>57.16118580335999</v>
      </c>
      <c r="F58" s="7">
        <f t="shared" si="4"/>
        <v>57.16118580335999</v>
      </c>
      <c r="G58" s="7">
        <f t="shared" si="4"/>
        <v>57.16118580335999</v>
      </c>
      <c r="H58" s="7">
        <f t="shared" si="4"/>
        <v>57.16118580335999</v>
      </c>
      <c r="I58" s="7">
        <f t="shared" si="4"/>
        <v>57.16118580335999</v>
      </c>
      <c r="J58" s="7">
        <f t="shared" si="4"/>
        <v>57.16118580335999</v>
      </c>
      <c r="K58" s="7">
        <f t="shared" si="4"/>
        <v>57.16118580335999</v>
      </c>
      <c r="L58" s="7">
        <f t="shared" si="4"/>
        <v>57.16118580335999</v>
      </c>
    </row>
    <row r="59" spans="1:12" ht="12.75">
      <c r="A59" s="11" t="s">
        <v>43</v>
      </c>
      <c r="C59" s="7">
        <f aca="true" t="shared" si="5" ref="C59:L59">$B$36*C18</f>
        <v>280</v>
      </c>
      <c r="D59" s="7">
        <f t="shared" si="5"/>
        <v>280</v>
      </c>
      <c r="E59" s="7">
        <f t="shared" si="5"/>
        <v>280</v>
      </c>
      <c r="F59" s="7">
        <f t="shared" si="5"/>
        <v>280</v>
      </c>
      <c r="G59" s="7">
        <f t="shared" si="5"/>
        <v>280</v>
      </c>
      <c r="H59" s="7">
        <f t="shared" si="5"/>
        <v>280</v>
      </c>
      <c r="I59" s="7">
        <f t="shared" si="5"/>
        <v>280</v>
      </c>
      <c r="J59" s="7">
        <f t="shared" si="5"/>
        <v>280</v>
      </c>
      <c r="K59" s="7">
        <f t="shared" si="5"/>
        <v>280</v>
      </c>
      <c r="L59" s="7">
        <f t="shared" si="5"/>
        <v>280</v>
      </c>
    </row>
    <row r="60" spans="1:12" ht="12.75">
      <c r="A60" s="11"/>
      <c r="C60" s="7"/>
      <c r="D60" s="7"/>
      <c r="E60" s="7"/>
      <c r="F60" s="7"/>
      <c r="G60" s="7"/>
      <c r="H60" s="7"/>
      <c r="I60" s="7"/>
      <c r="J60" s="7"/>
      <c r="K60" s="7"/>
      <c r="L60" s="7"/>
    </row>
    <row r="61" spans="1:12" ht="12.75">
      <c r="A61" s="11" t="s">
        <v>44</v>
      </c>
      <c r="C61" s="7">
        <f aca="true" t="shared" si="6" ref="C61:L61">$B$37*C19</f>
        <v>600</v>
      </c>
      <c r="D61" s="7">
        <f t="shared" si="6"/>
        <v>600</v>
      </c>
      <c r="E61" s="7">
        <f t="shared" si="6"/>
        <v>600</v>
      </c>
      <c r="F61" s="7">
        <f t="shared" si="6"/>
        <v>600</v>
      </c>
      <c r="G61" s="7">
        <f t="shared" si="6"/>
        <v>600</v>
      </c>
      <c r="H61" s="7">
        <f t="shared" si="6"/>
        <v>600</v>
      </c>
      <c r="I61" s="7">
        <f t="shared" si="6"/>
        <v>600</v>
      </c>
      <c r="J61" s="7">
        <f t="shared" si="6"/>
        <v>600</v>
      </c>
      <c r="K61" s="7">
        <f t="shared" si="6"/>
        <v>600</v>
      </c>
      <c r="L61" s="7">
        <f t="shared" si="6"/>
        <v>600</v>
      </c>
    </row>
    <row r="62" spans="1:12" ht="12.75">
      <c r="A62" s="11"/>
      <c r="C62" s="7"/>
      <c r="D62" s="7"/>
      <c r="E62" s="7"/>
      <c r="F62" s="7"/>
      <c r="G62" s="7"/>
      <c r="H62" s="7"/>
      <c r="I62" s="7"/>
      <c r="J62" s="7"/>
      <c r="K62" s="7"/>
      <c r="L62" s="7"/>
    </row>
    <row r="63" spans="1:12" ht="12.75">
      <c r="A63" s="11"/>
      <c r="C63" s="7"/>
      <c r="D63" s="7"/>
      <c r="E63" s="7"/>
      <c r="F63" s="7"/>
      <c r="G63" s="7"/>
      <c r="H63" s="7"/>
      <c r="I63" s="7"/>
      <c r="J63" s="7"/>
      <c r="K63" s="7"/>
      <c r="L63" s="7"/>
    </row>
    <row r="64" spans="1:12" ht="12.75">
      <c r="A64" s="11" t="s">
        <v>34</v>
      </c>
      <c r="C64" s="7"/>
      <c r="D64" s="7"/>
      <c r="E64" s="7"/>
      <c r="F64" s="7"/>
      <c r="G64" s="7"/>
      <c r="H64" s="7"/>
      <c r="I64" s="7"/>
      <c r="J64" s="7"/>
      <c r="K64" s="7"/>
      <c r="L64" s="7"/>
    </row>
    <row r="65" spans="1:12" ht="12.75">
      <c r="A65" s="11" t="s">
        <v>41</v>
      </c>
      <c r="C65" s="7">
        <f aca="true" t="shared" si="7" ref="C65:L65">$B$39*C23</f>
        <v>0</v>
      </c>
      <c r="D65" s="7">
        <f t="shared" si="7"/>
        <v>0</v>
      </c>
      <c r="E65" s="7">
        <f t="shared" si="7"/>
        <v>0</v>
      </c>
      <c r="F65" s="7">
        <f t="shared" si="7"/>
        <v>0</v>
      </c>
      <c r="G65" s="7">
        <f t="shared" si="7"/>
        <v>0</v>
      </c>
      <c r="H65" s="7">
        <f t="shared" si="7"/>
        <v>0</v>
      </c>
      <c r="I65" s="7">
        <f t="shared" si="7"/>
        <v>0</v>
      </c>
      <c r="J65" s="7">
        <f t="shared" si="7"/>
        <v>0</v>
      </c>
      <c r="K65" s="7">
        <f t="shared" si="7"/>
        <v>0</v>
      </c>
      <c r="L65" s="7">
        <f t="shared" si="7"/>
        <v>0</v>
      </c>
    </row>
    <row r="66" spans="1:12" ht="12.75">
      <c r="A66" s="11" t="s">
        <v>11</v>
      </c>
      <c r="C66" s="7"/>
      <c r="D66" s="7"/>
      <c r="E66" s="7"/>
      <c r="F66" s="7"/>
      <c r="G66" s="7"/>
      <c r="H66" s="7"/>
      <c r="I66" s="7"/>
      <c r="J66" s="7"/>
      <c r="K66" s="7"/>
      <c r="L66" s="7"/>
    </row>
    <row r="67" spans="1:12" ht="12.75">
      <c r="A67" s="11" t="s">
        <v>42</v>
      </c>
      <c r="C67" s="7">
        <f aca="true" t="shared" si="8" ref="C67:L67">$B$40*C25</f>
        <v>0</v>
      </c>
      <c r="D67" s="7">
        <f t="shared" si="8"/>
        <v>0</v>
      </c>
      <c r="E67" s="7">
        <f t="shared" si="8"/>
        <v>0</v>
      </c>
      <c r="F67" s="7">
        <f t="shared" si="8"/>
        <v>0</v>
      </c>
      <c r="G67" s="7">
        <f t="shared" si="8"/>
        <v>0</v>
      </c>
      <c r="H67" s="7">
        <f t="shared" si="8"/>
        <v>0</v>
      </c>
      <c r="I67" s="7">
        <f t="shared" si="8"/>
        <v>0</v>
      </c>
      <c r="J67" s="7">
        <f t="shared" si="8"/>
        <v>0</v>
      </c>
      <c r="K67" s="7">
        <f t="shared" si="8"/>
        <v>0</v>
      </c>
      <c r="L67" s="7">
        <f t="shared" si="8"/>
        <v>0</v>
      </c>
    </row>
    <row r="69" spans="1:12" ht="12.75">
      <c r="A69" s="192" t="s">
        <v>50</v>
      </c>
      <c r="B69" s="8"/>
      <c r="C69" s="193">
        <f aca="true" t="shared" si="9" ref="C69:L69">SUM(C49:C67)</f>
        <v>1410.04118580336</v>
      </c>
      <c r="D69" s="193">
        <f t="shared" si="9"/>
        <v>1411.0619858033601</v>
      </c>
      <c r="E69" s="193">
        <f t="shared" si="9"/>
        <v>1412.09299380336</v>
      </c>
      <c r="F69" s="193">
        <f t="shared" si="9"/>
        <v>1413.1343118833602</v>
      </c>
      <c r="G69" s="193">
        <f t="shared" si="9"/>
        <v>1414.18604314416</v>
      </c>
      <c r="H69" s="193">
        <f t="shared" si="9"/>
        <v>1415.248291717568</v>
      </c>
      <c r="I69" s="193">
        <f t="shared" si="9"/>
        <v>1416.32116277671</v>
      </c>
      <c r="J69" s="193">
        <f t="shared" si="9"/>
        <v>1417.4047625464436</v>
      </c>
      <c r="K69" s="193">
        <f t="shared" si="9"/>
        <v>1418.4991983138743</v>
      </c>
      <c r="L69" s="193">
        <f t="shared" si="9"/>
        <v>1419.6045784389796</v>
      </c>
    </row>
    <row r="75" spans="1:12" ht="27.75" customHeight="1">
      <c r="A75" s="313" t="s">
        <v>51</v>
      </c>
      <c r="B75" s="309"/>
      <c r="C75" s="278" t="s">
        <v>109</v>
      </c>
      <c r="D75" s="278" t="s">
        <v>110</v>
      </c>
      <c r="E75" s="278" t="s">
        <v>111</v>
      </c>
      <c r="F75" s="278" t="s">
        <v>112</v>
      </c>
      <c r="G75" s="278" t="s">
        <v>113</v>
      </c>
      <c r="H75" s="278" t="s">
        <v>266</v>
      </c>
      <c r="I75" s="278" t="s">
        <v>267</v>
      </c>
      <c r="J75" s="278" t="s">
        <v>268</v>
      </c>
      <c r="K75" s="278" t="s">
        <v>269</v>
      </c>
      <c r="L75" s="278" t="s">
        <v>270</v>
      </c>
    </row>
    <row r="76" ht="12.75">
      <c r="A76" s="5" t="s">
        <v>10</v>
      </c>
    </row>
    <row r="77" spans="1:13" ht="12.75">
      <c r="A77" s="6" t="s">
        <v>379</v>
      </c>
      <c r="C77" s="7">
        <f>C46*(1-'Input Flags'!$I$12)</f>
        <v>659.9999999999999</v>
      </c>
      <c r="D77" s="7">
        <f>D46*(1-'Input Flags'!$I$12)</f>
        <v>659.9999999999999</v>
      </c>
      <c r="E77" s="7">
        <f>E46*(1-'Input Flags'!$I$12)</f>
        <v>659.9999999999999</v>
      </c>
      <c r="F77" s="7">
        <f>F46*(1-'Input Flags'!$I$12)</f>
        <v>659.9999999999999</v>
      </c>
      <c r="G77" s="7">
        <f>G46*(1-'Input Flags'!$I$12)</f>
        <v>659.9999999999999</v>
      </c>
      <c r="H77" s="7">
        <f>H46*(1-'Input Flags'!$I$12)</f>
        <v>659.9999999999999</v>
      </c>
      <c r="I77" s="7">
        <f>I46*(1-'Input Flags'!$I$12)</f>
        <v>659.9999999999999</v>
      </c>
      <c r="J77" s="7">
        <f>J46*(1-'Input Flags'!$I$12)</f>
        <v>659.9999999999999</v>
      </c>
      <c r="K77" s="7">
        <f>K46*(1-'Input Flags'!$I$12)</f>
        <v>659.9999999999999</v>
      </c>
      <c r="L77" s="7">
        <f>L46*(1-'Input Flags'!$I$12)</f>
        <v>659.9999999999999</v>
      </c>
      <c r="M77" s="7"/>
    </row>
    <row r="78" ht="12.75">
      <c r="A78" s="5"/>
    </row>
    <row r="79" ht="12.75">
      <c r="A79" s="6" t="s">
        <v>26</v>
      </c>
    </row>
    <row r="80" spans="1:12" ht="12.75">
      <c r="A80" s="6" t="s">
        <v>35</v>
      </c>
      <c r="C80" s="7">
        <f>C49*(1-'Input Flags'!$I$12)</f>
        <v>0</v>
      </c>
      <c r="D80" s="7">
        <f>D49*(1-'Input Flags'!$I$12)</f>
        <v>0</v>
      </c>
      <c r="E80" s="7">
        <f>E49*(1-'Input Flags'!$I$12)</f>
        <v>0</v>
      </c>
      <c r="F80" s="7">
        <f>F49*(1-'Input Flags'!$I$12)</f>
        <v>0</v>
      </c>
      <c r="G80" s="7">
        <f>G49*(1-'Input Flags'!$I$12)</f>
        <v>0</v>
      </c>
      <c r="H80" s="7">
        <f>H49*(1-'Input Flags'!$I$12)</f>
        <v>0</v>
      </c>
      <c r="I80" s="7">
        <f>I49*(1-'Input Flags'!$I$12)</f>
        <v>0</v>
      </c>
      <c r="J80" s="7">
        <f>J49*(1-'Input Flags'!$I$12)</f>
        <v>0</v>
      </c>
      <c r="K80" s="7">
        <f>K49*(1-'Input Flags'!$I$12)</f>
        <v>0</v>
      </c>
      <c r="L80" s="7">
        <f>L49*(1-'Input Flags'!$I$12)</f>
        <v>0</v>
      </c>
    </row>
    <row r="81" spans="1:12" ht="12.75">
      <c r="A81" s="191"/>
      <c r="C81" s="7"/>
      <c r="D81" s="7"/>
      <c r="E81" s="7"/>
      <c r="F81" s="7"/>
      <c r="G81" s="7"/>
      <c r="H81" s="7"/>
      <c r="I81" s="7"/>
      <c r="J81" s="7"/>
      <c r="K81" s="7"/>
      <c r="L81" s="7"/>
    </row>
    <row r="82" spans="1:12" ht="12.75">
      <c r="A82" s="11" t="s">
        <v>37</v>
      </c>
      <c r="C82" s="7">
        <f>C54*(1-'Input Flags'!$I$12)</f>
        <v>24.575999999999993</v>
      </c>
      <c r="D82" s="7">
        <f>D54*(1-'Input Flags'!$I$12)</f>
        <v>24.780159999999995</v>
      </c>
      <c r="E82" s="7">
        <f>E54*(1-'Input Flags'!$I$12)</f>
        <v>24.986361599999995</v>
      </c>
      <c r="F82" s="7">
        <f>F54*(1-'Input Flags'!$I$12)</f>
        <v>25.194625216</v>
      </c>
      <c r="G82" s="7">
        <f>G54*(1-'Input Flags'!$I$12)</f>
        <v>25.404971468159992</v>
      </c>
      <c r="H82" s="7">
        <f>H54*(1-'Input Flags'!$I$12)</f>
        <v>25.6174211828416</v>
      </c>
      <c r="I82" s="7">
        <f>I54*(1-'Input Flags'!$I$12)</f>
        <v>25.831995394670013</v>
      </c>
      <c r="J82" s="7">
        <f>J54*(1-'Input Flags'!$I$12)</f>
        <v>26.048715348616714</v>
      </c>
      <c r="K82" s="7">
        <f>K54*(1-'Input Flags'!$I$12)</f>
        <v>26.267602502102882</v>
      </c>
      <c r="L82" s="7">
        <f>L54*(1-'Input Flags'!$I$12)</f>
        <v>26.48867852712391</v>
      </c>
    </row>
    <row r="83" spans="1:12" ht="12.75">
      <c r="A83" s="11"/>
      <c r="C83" s="7"/>
      <c r="D83" s="7"/>
      <c r="E83" s="7"/>
      <c r="F83" s="7"/>
      <c r="G83" s="7"/>
      <c r="H83" s="7"/>
      <c r="I83" s="7"/>
      <c r="J83" s="7"/>
      <c r="K83" s="7"/>
      <c r="L83" s="7"/>
    </row>
    <row r="84" spans="1:12" ht="12.75">
      <c r="A84" s="11" t="s">
        <v>38</v>
      </c>
      <c r="C84" s="7"/>
      <c r="D84" s="7"/>
      <c r="E84" s="7"/>
      <c r="F84" s="7"/>
      <c r="G84" s="7"/>
      <c r="H84" s="7"/>
      <c r="I84" s="7"/>
      <c r="J84" s="7"/>
      <c r="K84" s="7"/>
      <c r="L84" s="7"/>
    </row>
    <row r="85" spans="1:12" ht="12.75">
      <c r="A85" s="11" t="s">
        <v>328</v>
      </c>
      <c r="C85" s="7">
        <f>C57*(1-'Input Flags'!$I$12)</f>
        <v>69.99999999999999</v>
      </c>
      <c r="D85" s="7">
        <f>D57*(1-'Input Flags'!$I$12)</f>
        <v>69.99999999999999</v>
      </c>
      <c r="E85" s="7">
        <f>E57*(1-'Input Flags'!$I$12)</f>
        <v>69.99999999999999</v>
      </c>
      <c r="F85" s="7">
        <f>F57*(1-'Input Flags'!$I$12)</f>
        <v>69.99999999999999</v>
      </c>
      <c r="G85" s="7">
        <f>G57*(1-'Input Flags'!$I$12)</f>
        <v>69.99999999999999</v>
      </c>
      <c r="H85" s="7">
        <f>H57*(1-'Input Flags'!$I$12)</f>
        <v>69.99999999999999</v>
      </c>
      <c r="I85" s="7">
        <f>I57*(1-'Input Flags'!$I$12)</f>
        <v>69.99999999999999</v>
      </c>
      <c r="J85" s="7">
        <f>J57*(1-'Input Flags'!$I$12)</f>
        <v>69.99999999999999</v>
      </c>
      <c r="K85" s="7">
        <f>K57*(1-'Input Flags'!$I$12)</f>
        <v>69.99999999999999</v>
      </c>
      <c r="L85" s="7">
        <f>L57*(1-'Input Flags'!$I$12)</f>
        <v>69.99999999999999</v>
      </c>
    </row>
    <row r="86" spans="1:12" ht="12.75">
      <c r="A86" s="11" t="s">
        <v>39</v>
      </c>
      <c r="C86" s="7">
        <f>C58*(1-'Input Flags'!$I$12)</f>
        <v>11.432237160671995</v>
      </c>
      <c r="D86" s="7">
        <f>D58*(1-'Input Flags'!$I$12)</f>
        <v>11.432237160671995</v>
      </c>
      <c r="E86" s="7">
        <f>E58*(1-'Input Flags'!$I$12)</f>
        <v>11.432237160671995</v>
      </c>
      <c r="F86" s="7">
        <f>F58*(1-'Input Flags'!$I$12)</f>
        <v>11.432237160671995</v>
      </c>
      <c r="G86" s="7">
        <f>G58*(1-'Input Flags'!$I$12)</f>
        <v>11.432237160671995</v>
      </c>
      <c r="H86" s="7">
        <f>H58*(1-'Input Flags'!$I$12)</f>
        <v>11.432237160671995</v>
      </c>
      <c r="I86" s="7">
        <f>I58*(1-'Input Flags'!$I$12)</f>
        <v>11.432237160671995</v>
      </c>
      <c r="J86" s="7">
        <f>J58*(1-'Input Flags'!$I$12)</f>
        <v>11.432237160671995</v>
      </c>
      <c r="K86" s="7">
        <f>K58*(1-'Input Flags'!$I$12)</f>
        <v>11.432237160671995</v>
      </c>
      <c r="L86" s="7">
        <f>L58*(1-'Input Flags'!$I$12)</f>
        <v>11.432237160671995</v>
      </c>
    </row>
    <row r="87" spans="1:12" ht="12.75">
      <c r="A87" s="11" t="s">
        <v>43</v>
      </c>
      <c r="C87" s="7">
        <f>C59*(1-'Input Flags'!$I$12)</f>
        <v>55.999999999999986</v>
      </c>
      <c r="D87" s="7">
        <f>D59*(1-'Input Flags'!$I$12)</f>
        <v>55.999999999999986</v>
      </c>
      <c r="E87" s="7">
        <f>E59*(1-'Input Flags'!$I$12)</f>
        <v>55.999999999999986</v>
      </c>
      <c r="F87" s="7">
        <f>F59*(1-'Input Flags'!$I$12)</f>
        <v>55.999999999999986</v>
      </c>
      <c r="G87" s="7">
        <f>G59*(1-'Input Flags'!$I$12)</f>
        <v>55.999999999999986</v>
      </c>
      <c r="H87" s="7">
        <f>H59*(1-'Input Flags'!$I$12)</f>
        <v>55.999999999999986</v>
      </c>
      <c r="I87" s="7">
        <f>I59*(1-'Input Flags'!$I$12)</f>
        <v>55.999999999999986</v>
      </c>
      <c r="J87" s="7">
        <f>J59*(1-'Input Flags'!$I$12)</f>
        <v>55.999999999999986</v>
      </c>
      <c r="K87" s="7">
        <f>K59*(1-'Input Flags'!$I$12)</f>
        <v>55.999999999999986</v>
      </c>
      <c r="L87" s="7">
        <f>L59*(1-'Input Flags'!$I$12)</f>
        <v>55.999999999999986</v>
      </c>
    </row>
    <row r="88" spans="1:12" ht="12.75">
      <c r="A88" s="11"/>
      <c r="C88" s="7"/>
      <c r="D88" s="7"/>
      <c r="E88" s="7"/>
      <c r="F88" s="7"/>
      <c r="G88" s="7"/>
      <c r="H88" s="7"/>
      <c r="I88" s="7"/>
      <c r="J88" s="7"/>
      <c r="K88" s="7"/>
      <c r="L88" s="7"/>
    </row>
    <row r="89" spans="1:12" ht="12.75">
      <c r="A89" s="11" t="s">
        <v>44</v>
      </c>
      <c r="C89" s="7">
        <f>C61*(1-'Input Flags'!$I$12)</f>
        <v>119.99999999999997</v>
      </c>
      <c r="D89" s="7">
        <f>D61*(1-'Input Flags'!$I$12)</f>
        <v>119.99999999999997</v>
      </c>
      <c r="E89" s="7">
        <f>E61*(1-'Input Flags'!$I$12)</f>
        <v>119.99999999999997</v>
      </c>
      <c r="F89" s="7">
        <f>F61*(1-'Input Flags'!$I$12)</f>
        <v>119.99999999999997</v>
      </c>
      <c r="G89" s="7">
        <f>G61*(1-'Input Flags'!$I$12)</f>
        <v>119.99999999999997</v>
      </c>
      <c r="H89" s="7">
        <f>H61*(1-'Input Flags'!$I$12)</f>
        <v>119.99999999999997</v>
      </c>
      <c r="I89" s="7">
        <f>I61*(1-'Input Flags'!$I$12)</f>
        <v>119.99999999999997</v>
      </c>
      <c r="J89" s="7">
        <f>J61*(1-'Input Flags'!$I$12)</f>
        <v>119.99999999999997</v>
      </c>
      <c r="K89" s="7">
        <f>K61*(1-'Input Flags'!$I$12)</f>
        <v>119.99999999999997</v>
      </c>
      <c r="L89" s="7">
        <f>L61*(1-'Input Flags'!$I$12)</f>
        <v>119.99999999999997</v>
      </c>
    </row>
    <row r="90" spans="1:12" ht="12.75">
      <c r="A90" s="11"/>
      <c r="C90" s="7"/>
      <c r="D90" s="7"/>
      <c r="E90" s="7"/>
      <c r="F90" s="7"/>
      <c r="G90" s="7"/>
      <c r="H90" s="7"/>
      <c r="I90" s="7"/>
      <c r="J90" s="7"/>
      <c r="K90" s="7"/>
      <c r="L90" s="7"/>
    </row>
    <row r="91" spans="1:12" ht="12.75">
      <c r="A91" s="11"/>
      <c r="C91" s="7"/>
      <c r="D91" s="7"/>
      <c r="E91" s="7"/>
      <c r="F91" s="7"/>
      <c r="G91" s="7"/>
      <c r="H91" s="7"/>
      <c r="I91" s="7"/>
      <c r="J91" s="7"/>
      <c r="K91" s="7"/>
      <c r="L91" s="7"/>
    </row>
    <row r="92" spans="1:12" ht="12.75">
      <c r="A92" s="11" t="s">
        <v>34</v>
      </c>
      <c r="C92" s="7"/>
      <c r="D92" s="7"/>
      <c r="E92" s="7"/>
      <c r="F92" s="7"/>
      <c r="G92" s="7"/>
      <c r="H92" s="7"/>
      <c r="I92" s="7"/>
      <c r="J92" s="7"/>
      <c r="K92" s="7"/>
      <c r="L92" s="7"/>
    </row>
    <row r="93" spans="1:12" ht="12.75">
      <c r="A93" s="11" t="s">
        <v>41</v>
      </c>
      <c r="C93" s="7">
        <f>C65*(1-'Input Flags'!$I$12)</f>
        <v>0</v>
      </c>
      <c r="D93" s="7">
        <f>D65*(1-'Input Flags'!$I$12)</f>
        <v>0</v>
      </c>
      <c r="E93" s="7">
        <f>E65*(1-'Input Flags'!$I$12)</f>
        <v>0</v>
      </c>
      <c r="F93" s="7">
        <f>F65*(1-'Input Flags'!$I$12)</f>
        <v>0</v>
      </c>
      <c r="G93" s="7">
        <f>G65*(1-'Input Flags'!$I$12)</f>
        <v>0</v>
      </c>
      <c r="H93" s="7">
        <f>H65*(1-'Input Flags'!$I$12)</f>
        <v>0</v>
      </c>
      <c r="I93" s="7">
        <f>I65*(1-'Input Flags'!$I$12)</f>
        <v>0</v>
      </c>
      <c r="J93" s="7">
        <f>J65*(1-'Input Flags'!$I$12)</f>
        <v>0</v>
      </c>
      <c r="K93" s="7">
        <f>K65*(1-'Input Flags'!$I$12)</f>
        <v>0</v>
      </c>
      <c r="L93" s="7">
        <f>L65*(1-'Input Flags'!$I$12)</f>
        <v>0</v>
      </c>
    </row>
    <row r="94" spans="1:12" ht="12.75">
      <c r="A94" s="11" t="s">
        <v>11</v>
      </c>
      <c r="C94" s="7"/>
      <c r="D94" s="7"/>
      <c r="E94" s="7"/>
      <c r="F94" s="7"/>
      <c r="G94" s="7"/>
      <c r="H94" s="7"/>
      <c r="I94" s="7"/>
      <c r="J94" s="7"/>
      <c r="K94" s="7"/>
      <c r="L94" s="7"/>
    </row>
    <row r="95" spans="1:12" ht="12.75">
      <c r="A95" s="11" t="s">
        <v>42</v>
      </c>
      <c r="C95" s="7">
        <f>C67*(1-'Input Flags'!$I$12)</f>
        <v>0</v>
      </c>
      <c r="D95" s="7">
        <f>D67*(1-'Input Flags'!$I$12)</f>
        <v>0</v>
      </c>
      <c r="E95" s="7">
        <f>E67*(1-'Input Flags'!$I$12)</f>
        <v>0</v>
      </c>
      <c r="F95" s="7">
        <f>F67*(1-'Input Flags'!$I$12)</f>
        <v>0</v>
      </c>
      <c r="G95" s="7">
        <f>G67*(1-'Input Flags'!$I$12)</f>
        <v>0</v>
      </c>
      <c r="H95" s="7">
        <f>H67*(1-'Input Flags'!$I$12)</f>
        <v>0</v>
      </c>
      <c r="I95" s="7">
        <f>I67*(1-'Input Flags'!$I$12)</f>
        <v>0</v>
      </c>
      <c r="J95" s="7">
        <f>J67*(1-'Input Flags'!$I$12)</f>
        <v>0</v>
      </c>
      <c r="K95" s="7">
        <f>K67*(1-'Input Flags'!$I$12)</f>
        <v>0</v>
      </c>
      <c r="L95" s="7">
        <f>L67*(1-'Input Flags'!$I$12)</f>
        <v>0</v>
      </c>
    </row>
    <row r="97" spans="1:12" ht="12.75">
      <c r="A97" s="192" t="s">
        <v>52</v>
      </c>
      <c r="B97" s="8"/>
      <c r="C97" s="193">
        <f aca="true" t="shared" si="10" ref="C97:L97">SUM(C80:C95)</f>
        <v>282.0082371606719</v>
      </c>
      <c r="D97" s="193">
        <f t="shared" si="10"/>
        <v>282.2123971606719</v>
      </c>
      <c r="E97" s="193">
        <f t="shared" si="10"/>
        <v>282.4185987606719</v>
      </c>
      <c r="F97" s="193">
        <f t="shared" si="10"/>
        <v>282.62686237667197</v>
      </c>
      <c r="G97" s="193">
        <f t="shared" si="10"/>
        <v>282.83720862883195</v>
      </c>
      <c r="H97" s="193">
        <f t="shared" si="10"/>
        <v>283.04965834351356</v>
      </c>
      <c r="I97" s="193">
        <f t="shared" si="10"/>
        <v>283.264232555342</v>
      </c>
      <c r="J97" s="193">
        <f t="shared" si="10"/>
        <v>283.4809525092886</v>
      </c>
      <c r="K97" s="193">
        <f t="shared" si="10"/>
        <v>283.6998396627748</v>
      </c>
      <c r="L97" s="193">
        <f t="shared" si="10"/>
        <v>283.92091568779585</v>
      </c>
    </row>
  </sheetData>
  <sheetProtection/>
  <mergeCells count="10">
    <mergeCell ref="H43:H44"/>
    <mergeCell ref="I43:I44"/>
    <mergeCell ref="J43:J44"/>
    <mergeCell ref="K43:K44"/>
    <mergeCell ref="L43:L44"/>
    <mergeCell ref="C43:C44"/>
    <mergeCell ref="D43:D44"/>
    <mergeCell ref="E43:E44"/>
    <mergeCell ref="F43:F44"/>
    <mergeCell ref="G43:G44"/>
  </mergeCells>
  <printOptions/>
  <pageMargins left="0.75" right="0.75" top="1" bottom="1" header="0.5" footer="0.5"/>
  <pageSetup horizontalDpi="600" verticalDpi="600" orientation="portrait" scale="89"/>
  <rowBreaks count="2" manualBreakCount="2">
    <brk id="28" max="255" man="1"/>
    <brk id="71" max="255" man="1"/>
  </rowBreaks>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5" sqref="A5:A7"/>
    </sheetView>
  </sheetViews>
  <sheetFormatPr defaultColWidth="9.140625" defaultRowHeight="12.75"/>
  <sheetData>
    <row r="1" ht="12.75">
      <c r="A1" s="1" t="str">
        <f>'Front Cover'!A8:M8</f>
        <v>England Hockey</v>
      </c>
    </row>
    <row r="2" ht="12.75">
      <c r="A2" t="str">
        <f>'Front Cover'!A10:M10</f>
        <v>Non-Asset Owning Club</v>
      </c>
    </row>
    <row r="3" ht="12.75">
      <c r="A3" t="s">
        <v>350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tabColor rgb="FF002060"/>
    <pageSetUpPr fitToPage="1"/>
  </sheetPr>
  <dimension ref="A11:S80"/>
  <sheetViews>
    <sheetView showGridLines="0" zoomScale="75" zoomScaleNormal="75" zoomScaleSheetLayoutView="75" zoomScalePageLayoutView="0" workbookViewId="0" topLeftCell="A1">
      <selection activeCell="O62" sqref="O62"/>
    </sheetView>
  </sheetViews>
  <sheetFormatPr defaultColWidth="11.421875" defaultRowHeight="12.75"/>
  <cols>
    <col min="1" max="1" width="3.7109375" style="35" customWidth="1"/>
    <col min="2" max="2" width="4.7109375" style="35" customWidth="1"/>
    <col min="3" max="3" width="44.421875" style="35" customWidth="1"/>
    <col min="4" max="15" width="15.421875" style="35" customWidth="1"/>
    <col min="16" max="16" width="4.7109375" style="35" customWidth="1"/>
    <col min="17" max="17" width="3.421875" style="35" customWidth="1"/>
    <col min="18" max="18" width="51.00390625" style="35" customWidth="1"/>
    <col min="19" max="19" width="12.28125" style="35" customWidth="1"/>
    <col min="20" max="16384" width="11.421875" style="35" customWidth="1"/>
  </cols>
  <sheetData>
    <row r="1" ht="12.75"/>
    <row r="2" ht="12.75"/>
    <row r="3" ht="12.75"/>
    <row r="4" ht="12.75"/>
    <row r="5" ht="12.75"/>
    <row r="6" ht="12.75"/>
    <row r="7" ht="12.75"/>
    <row r="8" ht="12.75"/>
    <row r="9" ht="12.75"/>
    <row r="10" ht="12.75"/>
    <row r="11" spans="1:19" ht="28.5" customHeight="1">
      <c r="A11" s="339" t="str">
        <f>'Front Cover'!A8:M8</f>
        <v>England Hockey</v>
      </c>
      <c r="B11" s="339"/>
      <c r="C11" s="339"/>
      <c r="D11" s="339"/>
      <c r="E11" s="339"/>
      <c r="F11" s="339"/>
      <c r="G11" s="339"/>
      <c r="H11" s="339"/>
      <c r="I11" s="339"/>
      <c r="J11" s="339"/>
      <c r="K11" s="339"/>
      <c r="L11" s="339"/>
      <c r="M11" s="339"/>
      <c r="N11" s="339"/>
      <c r="O11" s="339"/>
      <c r="P11" s="339"/>
      <c r="Q11" s="339"/>
      <c r="R11" s="34"/>
      <c r="S11" s="34"/>
    </row>
    <row r="12" spans="1:19" ht="24" customHeight="1" thickBot="1">
      <c r="A12" s="339" t="str">
        <f>'Front Cover'!A10:M10</f>
        <v>Non-Asset Owning Club</v>
      </c>
      <c r="B12" s="339"/>
      <c r="C12" s="339"/>
      <c r="D12" s="339"/>
      <c r="E12" s="339"/>
      <c r="F12" s="339"/>
      <c r="G12" s="339"/>
      <c r="H12" s="339"/>
      <c r="I12" s="339"/>
      <c r="J12" s="339"/>
      <c r="K12" s="339"/>
      <c r="L12" s="339"/>
      <c r="M12" s="339"/>
      <c r="N12" s="339"/>
      <c r="O12" s="339"/>
      <c r="P12" s="339"/>
      <c r="Q12" s="339"/>
      <c r="R12" s="34"/>
      <c r="S12" s="34"/>
    </row>
    <row r="13" spans="2:19" ht="15" customHeight="1">
      <c r="B13" s="36"/>
      <c r="C13" s="59" t="s">
        <v>27</v>
      </c>
      <c r="D13" s="59"/>
      <c r="E13" s="37"/>
      <c r="F13" s="37"/>
      <c r="G13" s="37"/>
      <c r="H13" s="38"/>
      <c r="I13" s="38"/>
      <c r="J13" s="38"/>
      <c r="K13" s="38"/>
      <c r="L13" s="38"/>
      <c r="M13" s="38"/>
      <c r="N13" s="38"/>
      <c r="O13" s="38"/>
      <c r="P13" s="39"/>
      <c r="Q13" s="40"/>
      <c r="R13" s="40"/>
      <c r="S13" s="40"/>
    </row>
    <row r="14" spans="2:19" ht="15" customHeight="1">
      <c r="B14" s="41"/>
      <c r="C14" s="42"/>
      <c r="D14" s="153"/>
      <c r="E14" s="333" t="s">
        <v>60</v>
      </c>
      <c r="F14" s="333"/>
      <c r="G14" s="333"/>
      <c r="H14" s="333"/>
      <c r="I14" s="333"/>
      <c r="J14" s="345"/>
      <c r="K14" s="345"/>
      <c r="L14" s="345"/>
      <c r="M14" s="345"/>
      <c r="N14" s="345"/>
      <c r="O14" s="152"/>
      <c r="P14" s="44"/>
      <c r="Q14" s="40"/>
      <c r="R14" s="40"/>
      <c r="S14" s="40"/>
    </row>
    <row r="15" spans="2:19" ht="15" customHeight="1">
      <c r="B15" s="41"/>
      <c r="C15" s="45"/>
      <c r="D15" s="333" t="s">
        <v>286</v>
      </c>
      <c r="E15" s="343">
        <v>1</v>
      </c>
      <c r="F15" s="337">
        <v>2</v>
      </c>
      <c r="G15" s="337">
        <v>3</v>
      </c>
      <c r="H15" s="337">
        <v>4</v>
      </c>
      <c r="I15" s="337">
        <v>5</v>
      </c>
      <c r="J15" s="337">
        <v>6</v>
      </c>
      <c r="K15" s="337">
        <v>7</v>
      </c>
      <c r="L15" s="337">
        <v>8</v>
      </c>
      <c r="M15" s="337">
        <v>9</v>
      </c>
      <c r="N15" s="337">
        <v>10</v>
      </c>
      <c r="O15" s="342" t="s">
        <v>265</v>
      </c>
      <c r="P15" s="46"/>
      <c r="Q15" s="45"/>
      <c r="R15" s="45"/>
      <c r="S15" s="45"/>
    </row>
    <row r="16" spans="2:19" ht="15" customHeight="1">
      <c r="B16" s="41"/>
      <c r="C16" s="150" t="s">
        <v>31</v>
      </c>
      <c r="D16" s="334"/>
      <c r="E16" s="344"/>
      <c r="F16" s="338"/>
      <c r="G16" s="338"/>
      <c r="H16" s="338"/>
      <c r="I16" s="338"/>
      <c r="J16" s="338"/>
      <c r="K16" s="338"/>
      <c r="L16" s="338"/>
      <c r="M16" s="338"/>
      <c r="N16" s="338"/>
      <c r="O16" s="338"/>
      <c r="P16" s="46"/>
      <c r="Q16" s="45"/>
      <c r="R16" s="45"/>
      <c r="S16" s="45"/>
    </row>
    <row r="17" spans="2:19" ht="15" customHeight="1">
      <c r="B17" s="41"/>
      <c r="C17" s="61"/>
      <c r="D17" s="61"/>
      <c r="E17" s="62"/>
      <c r="F17" s="62"/>
      <c r="G17" s="62"/>
      <c r="H17" s="62"/>
      <c r="I17" s="62"/>
      <c r="J17" s="63"/>
      <c r="K17" s="63"/>
      <c r="L17" s="63"/>
      <c r="M17" s="63"/>
      <c r="N17" s="63"/>
      <c r="O17" s="63"/>
      <c r="P17" s="46"/>
      <c r="Q17" s="45"/>
      <c r="R17" s="45"/>
      <c r="S17" s="45"/>
    </row>
    <row r="18" spans="2:19" ht="15" customHeight="1">
      <c r="B18" s="41"/>
      <c r="C18" s="52" t="str">
        <f>'Internal Use - SUMMARY'!A7</f>
        <v>Match Fees</v>
      </c>
      <c r="D18" s="64">
        <f>'Internal Use - SUMMARY'!C7</f>
        <v>0</v>
      </c>
      <c r="E18" s="64">
        <f>'Internal Use - SUMMARY'!D7</f>
        <v>17120</v>
      </c>
      <c r="F18" s="64">
        <f>'Internal Use - SUMMARY'!E7</f>
        <v>17291.2</v>
      </c>
      <c r="G18" s="64">
        <f>'Internal Use - SUMMARY'!F7</f>
        <v>17464.111999999997</v>
      </c>
      <c r="H18" s="64">
        <f>'Internal Use - SUMMARY'!G7</f>
        <v>17638.75312</v>
      </c>
      <c r="I18" s="64">
        <f>'Internal Use - SUMMARY'!H7</f>
        <v>17815.1406512</v>
      </c>
      <c r="J18" s="64">
        <f>'Internal Use - SUMMARY'!I7</f>
        <v>17993.292057712002</v>
      </c>
      <c r="K18" s="64">
        <f>'Internal Use - SUMMARY'!J7</f>
        <v>18173.224978289123</v>
      </c>
      <c r="L18" s="64">
        <f>'Internal Use - SUMMARY'!K7</f>
        <v>18354.957228072013</v>
      </c>
      <c r="M18" s="64">
        <f>'Internal Use - SUMMARY'!L7</f>
        <v>18538.506800352734</v>
      </c>
      <c r="N18" s="64">
        <f>'Internal Use - SUMMARY'!M7</f>
        <v>18723.89186835626</v>
      </c>
      <c r="O18" s="64">
        <f>AVERAGE(E18:N18)</f>
        <v>17911.307870398214</v>
      </c>
      <c r="P18" s="46"/>
      <c r="Q18" s="45"/>
      <c r="R18" s="45"/>
      <c r="S18" s="45"/>
    </row>
    <row r="19" spans="2:19" ht="15" customHeight="1">
      <c r="B19" s="41"/>
      <c r="C19" s="52" t="str">
        <f>'Internal Use - SUMMARY'!A8</f>
        <v>Training Fees</v>
      </c>
      <c r="D19" s="64">
        <f>'Internal Use - SUMMARY'!C8</f>
        <v>0</v>
      </c>
      <c r="E19" s="64">
        <f>'Internal Use - SUMMARY'!D8</f>
        <v>2700</v>
      </c>
      <c r="F19" s="64">
        <f>'Internal Use - SUMMARY'!E8</f>
        <v>2700</v>
      </c>
      <c r="G19" s="64">
        <f>'Internal Use - SUMMARY'!F8</f>
        <v>2700</v>
      </c>
      <c r="H19" s="64">
        <f>'Internal Use - SUMMARY'!G8</f>
        <v>2700</v>
      </c>
      <c r="I19" s="64">
        <f>'Internal Use - SUMMARY'!H8</f>
        <v>2700</v>
      </c>
      <c r="J19" s="64">
        <f>'Internal Use - SUMMARY'!I8</f>
        <v>2700</v>
      </c>
      <c r="K19" s="64">
        <f>'Internal Use - SUMMARY'!J8</f>
        <v>2700</v>
      </c>
      <c r="L19" s="64">
        <f>'Internal Use - SUMMARY'!K8</f>
        <v>2700</v>
      </c>
      <c r="M19" s="64">
        <f>'Internal Use - SUMMARY'!L8</f>
        <v>2700</v>
      </c>
      <c r="N19" s="64">
        <f>'Internal Use - SUMMARY'!M8</f>
        <v>2700</v>
      </c>
      <c r="O19" s="64">
        <f>AVERAGE(E19:N19)</f>
        <v>2700</v>
      </c>
      <c r="P19" s="46"/>
      <c r="Q19" s="45"/>
      <c r="R19" s="45"/>
      <c r="S19" s="45"/>
    </row>
    <row r="20" spans="2:19" ht="15" customHeight="1">
      <c r="B20" s="41"/>
      <c r="C20" s="52" t="str">
        <f>'Internal Use - SUMMARY'!A9</f>
        <v>Club Subscriptions</v>
      </c>
      <c r="D20" s="64">
        <f>'Internal Use - SUMMARY'!C9</f>
        <v>0</v>
      </c>
      <c r="E20" s="64">
        <f>'Internal Use - SUMMARY'!D9</f>
        <v>8400</v>
      </c>
      <c r="F20" s="64">
        <f>'Internal Use - SUMMARY'!E9</f>
        <v>8484</v>
      </c>
      <c r="G20" s="64">
        <f>'Internal Use - SUMMARY'!F9</f>
        <v>8568.84</v>
      </c>
      <c r="H20" s="64">
        <f>'Internal Use - SUMMARY'!G9</f>
        <v>8654.528400000001</v>
      </c>
      <c r="I20" s="64">
        <f>'Internal Use - SUMMARY'!H9</f>
        <v>8741.073684</v>
      </c>
      <c r="J20" s="64">
        <f>'Internal Use - SUMMARY'!I9</f>
        <v>8828.48442084</v>
      </c>
      <c r="K20" s="64">
        <f>'Internal Use - SUMMARY'!J9</f>
        <v>8916.7692650484</v>
      </c>
      <c r="L20" s="64">
        <f>'Internal Use - SUMMARY'!K9</f>
        <v>9005.936957698885</v>
      </c>
      <c r="M20" s="64">
        <f>'Internal Use - SUMMARY'!L9</f>
        <v>9095.996327275874</v>
      </c>
      <c r="N20" s="64">
        <f>'Internal Use - SUMMARY'!M9</f>
        <v>9186.956290548635</v>
      </c>
      <c r="O20" s="64">
        <f>AVERAGE(E20:N20)</f>
        <v>8788.25853454118</v>
      </c>
      <c r="P20" s="46"/>
      <c r="Q20" s="45"/>
      <c r="R20" s="45"/>
      <c r="S20" s="45"/>
    </row>
    <row r="21" spans="2:19" ht="15" customHeight="1">
      <c r="B21" s="41"/>
      <c r="C21" s="52" t="str">
        <f>'Internal Use - SUMMARY'!A10</f>
        <v>Sponsorship and Donations</v>
      </c>
      <c r="D21" s="64">
        <f>'Internal Use - SUMMARY'!C10</f>
        <v>0</v>
      </c>
      <c r="E21" s="64">
        <f>'Internal Use - SUMMARY'!D10</f>
        <v>2500</v>
      </c>
      <c r="F21" s="64">
        <f>'Internal Use - SUMMARY'!E10</f>
        <v>2500</v>
      </c>
      <c r="G21" s="64">
        <f>'Internal Use - SUMMARY'!F10</f>
        <v>2500</v>
      </c>
      <c r="H21" s="64">
        <f>'Internal Use - SUMMARY'!G10</f>
        <v>2500</v>
      </c>
      <c r="I21" s="64">
        <f>'Internal Use - SUMMARY'!H10</f>
        <v>2500</v>
      </c>
      <c r="J21" s="64">
        <f>'Internal Use - SUMMARY'!I10</f>
        <v>2500</v>
      </c>
      <c r="K21" s="64">
        <f>'Internal Use - SUMMARY'!J10</f>
        <v>2500</v>
      </c>
      <c r="L21" s="64">
        <f>'Internal Use - SUMMARY'!K10</f>
        <v>2500</v>
      </c>
      <c r="M21" s="64">
        <f>'Internal Use - SUMMARY'!L10</f>
        <v>2500</v>
      </c>
      <c r="N21" s="64">
        <f>'Internal Use - SUMMARY'!M10</f>
        <v>2500</v>
      </c>
      <c r="O21" s="64">
        <f>AVERAGE(E21:N21)</f>
        <v>2500</v>
      </c>
      <c r="P21" s="46"/>
      <c r="Q21" s="45"/>
      <c r="R21" s="45"/>
      <c r="S21" s="45"/>
    </row>
    <row r="22" spans="2:19" ht="15" customHeight="1">
      <c r="B22" s="41"/>
      <c r="C22" s="52" t="str">
        <f>'Internal Use - SUMMARY'!A11</f>
        <v>Entertainment</v>
      </c>
      <c r="D22" s="64">
        <f>'Internal Use - SUMMARY'!C11</f>
        <v>0</v>
      </c>
      <c r="E22" s="64">
        <f>'Internal Use - SUMMARY'!D11</f>
        <v>3000</v>
      </c>
      <c r="F22" s="64">
        <f>'Internal Use - SUMMARY'!E11</f>
        <v>3000</v>
      </c>
      <c r="G22" s="64">
        <f>'Internal Use - SUMMARY'!F11</f>
        <v>3000</v>
      </c>
      <c r="H22" s="64">
        <f>'Internal Use - SUMMARY'!G11</f>
        <v>3000</v>
      </c>
      <c r="I22" s="64">
        <f>'Internal Use - SUMMARY'!H11</f>
        <v>3000</v>
      </c>
      <c r="J22" s="64">
        <f>'Internal Use - SUMMARY'!I11</f>
        <v>3000</v>
      </c>
      <c r="K22" s="64">
        <f>'Internal Use - SUMMARY'!J11</f>
        <v>3000</v>
      </c>
      <c r="L22" s="64">
        <f>'Internal Use - SUMMARY'!K11</f>
        <v>3000</v>
      </c>
      <c r="M22" s="64">
        <f>'Internal Use - SUMMARY'!L11</f>
        <v>3000</v>
      </c>
      <c r="N22" s="64">
        <f>'Internal Use - SUMMARY'!M11</f>
        <v>3000</v>
      </c>
      <c r="O22" s="64">
        <f>AVERAGE(E22:N22)</f>
        <v>3000</v>
      </c>
      <c r="P22" s="46"/>
      <c r="Q22" s="45"/>
      <c r="R22" s="45"/>
      <c r="S22" s="45"/>
    </row>
    <row r="23" spans="2:19" ht="15" customHeight="1">
      <c r="B23" s="41"/>
      <c r="C23" s="52"/>
      <c r="D23" s="52"/>
      <c r="E23" s="52"/>
      <c r="F23" s="52"/>
      <c r="G23" s="52"/>
      <c r="H23" s="52"/>
      <c r="I23" s="52"/>
      <c r="J23" s="52"/>
      <c r="K23" s="52"/>
      <c r="L23" s="52"/>
      <c r="M23" s="52"/>
      <c r="N23" s="52"/>
      <c r="O23" s="52"/>
      <c r="P23" s="46"/>
      <c r="Q23" s="45"/>
      <c r="R23" s="45"/>
      <c r="S23" s="45"/>
    </row>
    <row r="24" spans="2:19" ht="15" customHeight="1">
      <c r="B24" s="41"/>
      <c r="C24" s="66" t="str">
        <f>'Internal Use - SUMMARY'!A12</f>
        <v>Total Income</v>
      </c>
      <c r="D24" s="325">
        <f>'Internal Use - SUMMARY'!C12</f>
        <v>0</v>
      </c>
      <c r="E24" s="325">
        <f>'Internal Use - SUMMARY'!D12</f>
        <v>30720</v>
      </c>
      <c r="F24" s="325">
        <f>'Internal Use - SUMMARY'!E12</f>
        <v>30975.2</v>
      </c>
      <c r="G24" s="325">
        <f>'Internal Use - SUMMARY'!F12</f>
        <v>31232.951999999997</v>
      </c>
      <c r="H24" s="325">
        <f>'Internal Use - SUMMARY'!G12</f>
        <v>31493.281520000004</v>
      </c>
      <c r="I24" s="325">
        <f>'Internal Use - SUMMARY'!H12</f>
        <v>31756.2143352</v>
      </c>
      <c r="J24" s="325">
        <f>'Internal Use - SUMMARY'!I12</f>
        <v>32021.776478552005</v>
      </c>
      <c r="K24" s="325">
        <f>'Internal Use - SUMMARY'!J12</f>
        <v>32289.994243337525</v>
      </c>
      <c r="L24" s="325">
        <f>'Internal Use - SUMMARY'!K12</f>
        <v>32560.8941857709</v>
      </c>
      <c r="M24" s="325">
        <f>'Internal Use - SUMMARY'!L12</f>
        <v>32834.50312762861</v>
      </c>
      <c r="N24" s="326">
        <f>'Internal Use - SUMMARY'!M12</f>
        <v>33110.84815890489</v>
      </c>
      <c r="O24" s="325">
        <f>AVERAGE(E24:N24)</f>
        <v>31899.566404939385</v>
      </c>
      <c r="P24" s="46"/>
      <c r="Q24" s="45"/>
      <c r="R24" s="45"/>
      <c r="S24" s="45"/>
    </row>
    <row r="25" spans="2:16" ht="15" customHeight="1">
      <c r="B25" s="41"/>
      <c r="C25" s="69"/>
      <c r="D25" s="45"/>
      <c r="E25" s="45"/>
      <c r="F25" s="45"/>
      <c r="G25" s="45"/>
      <c r="H25" s="45"/>
      <c r="I25" s="45"/>
      <c r="J25" s="45"/>
      <c r="K25" s="45"/>
      <c r="L25" s="45"/>
      <c r="M25" s="45"/>
      <c r="N25" s="45"/>
      <c r="O25" s="67"/>
      <c r="P25" s="46"/>
    </row>
    <row r="26" spans="2:19" ht="15" customHeight="1" thickBot="1">
      <c r="B26" s="56"/>
      <c r="C26" s="68"/>
      <c r="D26" s="68"/>
      <c r="E26" s="57"/>
      <c r="F26" s="57"/>
      <c r="G26" s="57"/>
      <c r="H26" s="57"/>
      <c r="I26" s="57"/>
      <c r="J26" s="57"/>
      <c r="K26" s="57"/>
      <c r="L26" s="57"/>
      <c r="M26" s="57"/>
      <c r="N26" s="57"/>
      <c r="O26" s="57"/>
      <c r="P26" s="58"/>
      <c r="Q26" s="45"/>
      <c r="R26" s="45"/>
      <c r="S26" s="45"/>
    </row>
    <row r="27" spans="3:19" ht="15" customHeight="1" thickBot="1">
      <c r="C27" s="47"/>
      <c r="D27" s="47"/>
      <c r="E27" s="48"/>
      <c r="F27" s="48"/>
      <c r="G27" s="45"/>
      <c r="H27" s="45"/>
      <c r="I27" s="45"/>
      <c r="J27" s="45"/>
      <c r="K27" s="45"/>
      <c r="L27" s="45"/>
      <c r="M27" s="45"/>
      <c r="N27" s="45"/>
      <c r="O27" s="45"/>
      <c r="P27" s="45"/>
      <c r="Q27" s="45"/>
      <c r="R27" s="45"/>
      <c r="S27" s="45"/>
    </row>
    <row r="28" spans="2:19" ht="15" customHeight="1">
      <c r="B28" s="36"/>
      <c r="C28" s="49"/>
      <c r="D28" s="49"/>
      <c r="E28" s="50"/>
      <c r="F28" s="50"/>
      <c r="G28" s="37"/>
      <c r="H28" s="37"/>
      <c r="I28" s="37"/>
      <c r="J28" s="37"/>
      <c r="K28" s="37"/>
      <c r="L28" s="37"/>
      <c r="M28" s="37"/>
      <c r="N28" s="37"/>
      <c r="O28" s="37"/>
      <c r="P28" s="51"/>
      <c r="Q28" s="45"/>
      <c r="R28" s="45"/>
      <c r="S28" s="45"/>
    </row>
    <row r="29" spans="2:17" ht="15" customHeight="1">
      <c r="B29" s="41"/>
      <c r="C29" s="52"/>
      <c r="D29" s="151"/>
      <c r="E29" s="333" t="s">
        <v>60</v>
      </c>
      <c r="F29" s="333"/>
      <c r="G29" s="333"/>
      <c r="H29" s="333"/>
      <c r="I29" s="333"/>
      <c r="J29" s="345"/>
      <c r="K29" s="345"/>
      <c r="L29" s="345"/>
      <c r="M29" s="345"/>
      <c r="N29" s="345"/>
      <c r="O29" s="152"/>
      <c r="P29" s="46"/>
      <c r="Q29" s="45"/>
    </row>
    <row r="30" spans="2:17" ht="15" customHeight="1">
      <c r="B30" s="41"/>
      <c r="C30" s="52"/>
      <c r="D30" s="333" t="s">
        <v>286</v>
      </c>
      <c r="E30" s="337">
        <v>1</v>
      </c>
      <c r="F30" s="337">
        <v>2</v>
      </c>
      <c r="G30" s="337">
        <v>3</v>
      </c>
      <c r="H30" s="337">
        <v>4</v>
      </c>
      <c r="I30" s="337">
        <v>5</v>
      </c>
      <c r="J30" s="337">
        <v>6</v>
      </c>
      <c r="K30" s="337">
        <v>7</v>
      </c>
      <c r="L30" s="337">
        <v>8</v>
      </c>
      <c r="M30" s="337">
        <v>9</v>
      </c>
      <c r="N30" s="337">
        <v>10</v>
      </c>
      <c r="O30" s="342" t="s">
        <v>265</v>
      </c>
      <c r="P30" s="46"/>
      <c r="Q30" s="45"/>
    </row>
    <row r="31" spans="2:17" ht="15" customHeight="1">
      <c r="B31" s="41"/>
      <c r="C31" s="60" t="s">
        <v>58</v>
      </c>
      <c r="D31" s="334"/>
      <c r="E31" s="338"/>
      <c r="F31" s="338"/>
      <c r="G31" s="338"/>
      <c r="H31" s="338"/>
      <c r="I31" s="338"/>
      <c r="J31" s="338"/>
      <c r="K31" s="338"/>
      <c r="L31" s="338"/>
      <c r="M31" s="338"/>
      <c r="N31" s="338"/>
      <c r="O31" s="338"/>
      <c r="P31" s="46"/>
      <c r="Q31" s="45"/>
    </row>
    <row r="32" spans="2:17" ht="15" customHeight="1">
      <c r="B32" s="41"/>
      <c r="C32" s="61"/>
      <c r="D32" s="61"/>
      <c r="E32" s="63"/>
      <c r="F32" s="63"/>
      <c r="G32" s="63"/>
      <c r="H32" s="63"/>
      <c r="I32" s="63"/>
      <c r="J32" s="63"/>
      <c r="K32" s="63"/>
      <c r="L32" s="63"/>
      <c r="M32" s="63"/>
      <c r="N32" s="63"/>
      <c r="O32" s="63"/>
      <c r="P32" s="46"/>
      <c r="Q32" s="45"/>
    </row>
    <row r="33" spans="2:17" ht="15" customHeight="1">
      <c r="B33" s="41"/>
      <c r="C33" s="61" t="s">
        <v>379</v>
      </c>
      <c r="D33" s="64">
        <f>'Internal Use - SUMMARY'!C13</f>
        <v>0</v>
      </c>
      <c r="E33" s="64">
        <f>'Internal Use - SUMMARY'!D13</f>
        <v>16500</v>
      </c>
      <c r="F33" s="64">
        <f>'Internal Use - SUMMARY'!E13</f>
        <v>16500</v>
      </c>
      <c r="G33" s="64">
        <f>'Internal Use - SUMMARY'!F13</f>
        <v>16500</v>
      </c>
      <c r="H33" s="64">
        <f>'Internal Use - SUMMARY'!G13</f>
        <v>16500</v>
      </c>
      <c r="I33" s="64">
        <f>'Internal Use - SUMMARY'!H13</f>
        <v>16500</v>
      </c>
      <c r="J33" s="64">
        <f>'Internal Use - SUMMARY'!I13</f>
        <v>16500</v>
      </c>
      <c r="K33" s="64">
        <f>'Internal Use - SUMMARY'!J13</f>
        <v>16500</v>
      </c>
      <c r="L33" s="64">
        <f>'Internal Use - SUMMARY'!K13</f>
        <v>16500</v>
      </c>
      <c r="M33" s="64">
        <f>'Internal Use - SUMMARY'!L13</f>
        <v>16500</v>
      </c>
      <c r="N33" s="64">
        <f>'Internal Use - SUMMARY'!M13</f>
        <v>16500</v>
      </c>
      <c r="O33" s="64">
        <f>AVERAGE(E33:N33)</f>
        <v>16500</v>
      </c>
      <c r="P33" s="46"/>
      <c r="Q33" s="45"/>
    </row>
    <row r="34" spans="2:17" ht="15" customHeight="1">
      <c r="B34" s="41"/>
      <c r="C34" s="61"/>
      <c r="D34" s="61"/>
      <c r="E34" s="63"/>
      <c r="F34" s="63"/>
      <c r="G34" s="63"/>
      <c r="H34" s="63"/>
      <c r="I34" s="63"/>
      <c r="J34" s="63"/>
      <c r="K34" s="63"/>
      <c r="L34" s="63"/>
      <c r="M34" s="63"/>
      <c r="N34" s="63"/>
      <c r="O34" s="63"/>
      <c r="P34" s="46"/>
      <c r="Q34" s="45"/>
    </row>
    <row r="35" spans="2:17" ht="15" customHeight="1">
      <c r="B35" s="41"/>
      <c r="C35" s="69" t="s">
        <v>5</v>
      </c>
      <c r="D35" s="69"/>
      <c r="E35" s="67"/>
      <c r="F35" s="67"/>
      <c r="G35" s="67"/>
      <c r="H35" s="67"/>
      <c r="I35" s="67"/>
      <c r="J35" s="67"/>
      <c r="K35" s="67"/>
      <c r="L35" s="67"/>
      <c r="M35" s="67"/>
      <c r="N35" s="67"/>
      <c r="O35" s="67"/>
      <c r="P35" s="46"/>
      <c r="Q35" s="45"/>
    </row>
    <row r="36" spans="2:17" ht="15" customHeight="1">
      <c r="B36" s="41"/>
      <c r="C36" s="52" t="str">
        <f>'Internal Use - SUMMARY'!A14</f>
        <v>Coaching and Umpire Fees</v>
      </c>
      <c r="D36" s="64">
        <f>'Internal Use - SUMMARY'!C14</f>
        <v>0</v>
      </c>
      <c r="E36" s="64">
        <f>'Internal Use - SUMMARY'!D14</f>
        <v>4050</v>
      </c>
      <c r="F36" s="64">
        <f>'Internal Use - SUMMARY'!E14</f>
        <v>4050</v>
      </c>
      <c r="G36" s="64">
        <f>'Internal Use - SUMMARY'!F14</f>
        <v>4050</v>
      </c>
      <c r="H36" s="64">
        <f>'Internal Use - SUMMARY'!G14</f>
        <v>4050</v>
      </c>
      <c r="I36" s="64">
        <f>'Internal Use - SUMMARY'!H14</f>
        <v>4050</v>
      </c>
      <c r="J36" s="64">
        <f>'Internal Use - SUMMARY'!I14</f>
        <v>4050</v>
      </c>
      <c r="K36" s="64">
        <f>'Internal Use - SUMMARY'!J14</f>
        <v>4050</v>
      </c>
      <c r="L36" s="64">
        <f>'Internal Use - SUMMARY'!K14</f>
        <v>4050</v>
      </c>
      <c r="M36" s="64">
        <f>'Internal Use - SUMMARY'!L14</f>
        <v>4050</v>
      </c>
      <c r="N36" s="64">
        <f>'Internal Use - SUMMARY'!M14</f>
        <v>4050</v>
      </c>
      <c r="O36" s="64">
        <f>AVERAGE(E36:N36)</f>
        <v>4050</v>
      </c>
      <c r="P36" s="46"/>
      <c r="Q36" s="45"/>
    </row>
    <row r="37" spans="2:17" ht="15" customHeight="1">
      <c r="B37" s="41"/>
      <c r="C37" s="70"/>
      <c r="D37" s="45"/>
      <c r="E37" s="45"/>
      <c r="F37" s="45"/>
      <c r="G37" s="45"/>
      <c r="H37" s="45"/>
      <c r="I37" s="45"/>
      <c r="J37" s="45"/>
      <c r="K37" s="45"/>
      <c r="L37" s="45"/>
      <c r="M37" s="45"/>
      <c r="N37" s="45"/>
      <c r="O37" s="67"/>
      <c r="P37" s="46"/>
      <c r="Q37" s="45"/>
    </row>
    <row r="38" spans="2:17" ht="15" customHeight="1">
      <c r="B38" s="41"/>
      <c r="C38" s="69" t="str">
        <f>'Internal Use - SUMMARY'!A15</f>
        <v>Equipment Lifecycle</v>
      </c>
      <c r="D38" s="64">
        <f>'Internal Use - SUMMARY'!C15</f>
        <v>0</v>
      </c>
      <c r="E38" s="64">
        <f>'Internal Use - SUMMARY'!D15</f>
        <v>758.3333333333334</v>
      </c>
      <c r="F38" s="64">
        <f>'Internal Use - SUMMARY'!E15</f>
        <v>758.3333333333334</v>
      </c>
      <c r="G38" s="64">
        <f>'Internal Use - SUMMARY'!F15</f>
        <v>758.3333333333334</v>
      </c>
      <c r="H38" s="64">
        <f>'Internal Use - SUMMARY'!G15</f>
        <v>758.3333333333334</v>
      </c>
      <c r="I38" s="64">
        <f>'Internal Use - SUMMARY'!H15</f>
        <v>758.3333333333334</v>
      </c>
      <c r="J38" s="64">
        <f>'Internal Use - SUMMARY'!I15</f>
        <v>758.3333333333334</v>
      </c>
      <c r="K38" s="64">
        <f>'Internal Use - SUMMARY'!J15</f>
        <v>758.3333333333334</v>
      </c>
      <c r="L38" s="64">
        <f>'Internal Use - SUMMARY'!K15</f>
        <v>758.3333333333334</v>
      </c>
      <c r="M38" s="64">
        <f>'Internal Use - SUMMARY'!L15</f>
        <v>758.3333333333334</v>
      </c>
      <c r="N38" s="64">
        <f>'Internal Use - SUMMARY'!M15</f>
        <v>758.3333333333334</v>
      </c>
      <c r="O38" s="64">
        <f>AVERAGE(E38:N38)</f>
        <v>758.3333333333333</v>
      </c>
      <c r="P38" s="46"/>
      <c r="Q38" s="45"/>
    </row>
    <row r="39" spans="2:16" ht="15" customHeight="1">
      <c r="B39" s="41"/>
      <c r="C39" s="69"/>
      <c r="D39" s="67"/>
      <c r="E39" s="67"/>
      <c r="F39" s="67"/>
      <c r="G39" s="67"/>
      <c r="H39" s="67"/>
      <c r="I39" s="67"/>
      <c r="J39" s="67"/>
      <c r="K39" s="67"/>
      <c r="L39" s="67"/>
      <c r="M39" s="67"/>
      <c r="N39" s="67"/>
      <c r="O39" s="67"/>
      <c r="P39" s="46"/>
    </row>
    <row r="40" spans="2:16" ht="15" customHeight="1">
      <c r="B40" s="41"/>
      <c r="C40" s="69" t="s">
        <v>62</v>
      </c>
      <c r="D40" s="64">
        <f>'Internal Use - SUMMARY'!C16</f>
        <v>0</v>
      </c>
      <c r="E40" s="64">
        <f>'Internal Use - SUMMARY'!D16</f>
        <v>614.4</v>
      </c>
      <c r="F40" s="64">
        <f>'Internal Use - SUMMARY'!E16</f>
        <v>619.504</v>
      </c>
      <c r="G40" s="64">
        <f>'Internal Use - SUMMARY'!F16</f>
        <v>624.65904</v>
      </c>
      <c r="H40" s="64">
        <f>'Internal Use - SUMMARY'!G16</f>
        <v>629.8656304000001</v>
      </c>
      <c r="I40" s="64">
        <f>'Internal Use - SUMMARY'!H16</f>
        <v>635.1242867039999</v>
      </c>
      <c r="J40" s="64">
        <f>'Internal Use - SUMMARY'!I16</f>
        <v>640.4355295710401</v>
      </c>
      <c r="K40" s="64">
        <f>'Internal Use - SUMMARY'!J16</f>
        <v>645.7998848667505</v>
      </c>
      <c r="L40" s="64">
        <f>'Internal Use - SUMMARY'!K16</f>
        <v>651.217883715418</v>
      </c>
      <c r="M40" s="64">
        <f>'Internal Use - SUMMARY'!L16</f>
        <v>656.6900625525722</v>
      </c>
      <c r="N40" s="64">
        <f>'Internal Use - SUMMARY'!M16</f>
        <v>662.2169631780978</v>
      </c>
      <c r="O40" s="64">
        <f>AVERAGE(E40:N40)</f>
        <v>637.9913280987879</v>
      </c>
      <c r="P40" s="46"/>
    </row>
    <row r="41" spans="2:16" ht="15" customHeight="1">
      <c r="B41" s="41"/>
      <c r="C41" s="52"/>
      <c r="D41" s="45"/>
      <c r="E41" s="45"/>
      <c r="F41" s="45"/>
      <c r="G41" s="45"/>
      <c r="H41" s="45"/>
      <c r="I41" s="45"/>
      <c r="J41" s="45"/>
      <c r="K41" s="45"/>
      <c r="L41" s="45"/>
      <c r="M41" s="45"/>
      <c r="N41" s="45"/>
      <c r="O41" s="67"/>
      <c r="P41" s="46"/>
    </row>
    <row r="42" spans="2:16" ht="15" customHeight="1">
      <c r="B42" s="41"/>
      <c r="C42" s="69" t="s">
        <v>59</v>
      </c>
      <c r="D42" s="45"/>
      <c r="E42" s="45"/>
      <c r="F42" s="45"/>
      <c r="G42" s="45"/>
      <c r="H42" s="45"/>
      <c r="I42" s="45"/>
      <c r="J42" s="45"/>
      <c r="K42" s="45"/>
      <c r="L42" s="45"/>
      <c r="M42" s="45"/>
      <c r="N42" s="45"/>
      <c r="O42" s="67"/>
      <c r="P42" s="46"/>
    </row>
    <row r="43" spans="2:16" ht="15" customHeight="1">
      <c r="B43" s="41"/>
      <c r="C43" s="52" t="str">
        <f>'Internal Use - SUMMARY'!A17</f>
        <v>Playing Fees (Entry Fees and Affiliation)</v>
      </c>
      <c r="D43" s="64">
        <f>'Internal Use - SUMMARY'!C17</f>
        <v>0</v>
      </c>
      <c r="E43" s="64">
        <f>'Internal Use - SUMMARY'!D17</f>
        <v>1750</v>
      </c>
      <c r="F43" s="64">
        <f>'Internal Use - SUMMARY'!E17</f>
        <v>1750</v>
      </c>
      <c r="G43" s="64">
        <f>'Internal Use - SUMMARY'!F17</f>
        <v>1750</v>
      </c>
      <c r="H43" s="64">
        <f>'Internal Use - SUMMARY'!G17</f>
        <v>1750</v>
      </c>
      <c r="I43" s="64">
        <f>'Internal Use - SUMMARY'!H17</f>
        <v>1750</v>
      </c>
      <c r="J43" s="64">
        <f>'Internal Use - SUMMARY'!I17</f>
        <v>1750</v>
      </c>
      <c r="K43" s="64">
        <f>'Internal Use - SUMMARY'!J17</f>
        <v>1750</v>
      </c>
      <c r="L43" s="64">
        <f>'Internal Use - SUMMARY'!K17</f>
        <v>1750</v>
      </c>
      <c r="M43" s="64">
        <f>'Internal Use - SUMMARY'!L17</f>
        <v>1750</v>
      </c>
      <c r="N43" s="64">
        <f>'Internal Use - SUMMARY'!M17</f>
        <v>1750</v>
      </c>
      <c r="O43" s="64">
        <f>AVERAGE(E43:N43)</f>
        <v>1750</v>
      </c>
      <c r="P43" s="46"/>
    </row>
    <row r="44" spans="2:16" ht="15" customHeight="1">
      <c r="B44" s="41"/>
      <c r="C44" s="52" t="str">
        <f>'Internal Use - SUMMARY'!A18</f>
        <v>Insurances</v>
      </c>
      <c r="D44" s="64">
        <f>'Internal Use - SUMMARY'!C18</f>
        <v>0</v>
      </c>
      <c r="E44" s="64">
        <f>'Internal Use - SUMMARY'!D18</f>
        <v>952.686430056</v>
      </c>
      <c r="F44" s="64">
        <f>'Internal Use - SUMMARY'!E18</f>
        <v>952.686430056</v>
      </c>
      <c r="G44" s="64">
        <f>'Internal Use - SUMMARY'!F18</f>
        <v>952.686430056</v>
      </c>
      <c r="H44" s="64">
        <f>'Internal Use - SUMMARY'!G18</f>
        <v>952.686430056</v>
      </c>
      <c r="I44" s="64">
        <f>'Internal Use - SUMMARY'!H18</f>
        <v>952.686430056</v>
      </c>
      <c r="J44" s="64">
        <f>'Internal Use - SUMMARY'!I18</f>
        <v>952.686430056</v>
      </c>
      <c r="K44" s="64">
        <f>'Internal Use - SUMMARY'!J18</f>
        <v>952.686430056</v>
      </c>
      <c r="L44" s="64">
        <f>'Internal Use - SUMMARY'!K18</f>
        <v>952.686430056</v>
      </c>
      <c r="M44" s="64">
        <f>'Internal Use - SUMMARY'!L18</f>
        <v>952.686430056</v>
      </c>
      <c r="N44" s="64">
        <f>'Internal Use - SUMMARY'!M18</f>
        <v>952.686430056</v>
      </c>
      <c r="O44" s="64">
        <f>AVERAGE(E44:N44)</f>
        <v>952.6864300559998</v>
      </c>
      <c r="P44" s="46"/>
    </row>
    <row r="45" spans="2:16" ht="15" customHeight="1">
      <c r="B45" s="41"/>
      <c r="C45" s="52" t="str">
        <f>'Internal Use - SUMMARY'!A19</f>
        <v>Admin and Finance</v>
      </c>
      <c r="D45" s="64">
        <f>'Internal Use - SUMMARY'!C19</f>
        <v>0</v>
      </c>
      <c r="E45" s="64">
        <f>'Internal Use - SUMMARY'!D19</f>
        <v>1400</v>
      </c>
      <c r="F45" s="64">
        <f>'Internal Use - SUMMARY'!E19</f>
        <v>1400</v>
      </c>
      <c r="G45" s="64">
        <f>'Internal Use - SUMMARY'!F19</f>
        <v>1400</v>
      </c>
      <c r="H45" s="64">
        <f>'Internal Use - SUMMARY'!G19</f>
        <v>1400</v>
      </c>
      <c r="I45" s="64">
        <f>'Internal Use - SUMMARY'!H19</f>
        <v>1400</v>
      </c>
      <c r="J45" s="64">
        <f>'Internal Use - SUMMARY'!I19</f>
        <v>1400</v>
      </c>
      <c r="K45" s="64">
        <f>'Internal Use - SUMMARY'!J19</f>
        <v>1400</v>
      </c>
      <c r="L45" s="64">
        <f>'Internal Use - SUMMARY'!K19</f>
        <v>1400</v>
      </c>
      <c r="M45" s="64">
        <f>'Internal Use - SUMMARY'!L19</f>
        <v>1400</v>
      </c>
      <c r="N45" s="64">
        <f>'Internal Use - SUMMARY'!M19</f>
        <v>1400</v>
      </c>
      <c r="O45" s="64">
        <f>AVERAGE(E45:N45)</f>
        <v>1400</v>
      </c>
      <c r="P45" s="46"/>
    </row>
    <row r="46" spans="2:16" ht="15" customHeight="1">
      <c r="B46" s="41"/>
      <c r="C46" s="52" t="str">
        <f>'Internal Use - SUMMARY'!A20</f>
        <v>Other supplies and sundry items</v>
      </c>
      <c r="D46" s="64">
        <f>'Internal Use - SUMMARY'!C20</f>
        <v>0</v>
      </c>
      <c r="E46" s="64">
        <f>'Internal Use - SUMMARY'!D20</f>
        <v>3000</v>
      </c>
      <c r="F46" s="64">
        <f>'Internal Use - SUMMARY'!E20</f>
        <v>3000</v>
      </c>
      <c r="G46" s="64">
        <f>'Internal Use - SUMMARY'!F20</f>
        <v>3000</v>
      </c>
      <c r="H46" s="64">
        <f>'Internal Use - SUMMARY'!G20</f>
        <v>3000</v>
      </c>
      <c r="I46" s="64">
        <f>'Internal Use - SUMMARY'!H20</f>
        <v>3000</v>
      </c>
      <c r="J46" s="64">
        <f>'Internal Use - SUMMARY'!I20</f>
        <v>3000</v>
      </c>
      <c r="K46" s="64">
        <f>'Internal Use - SUMMARY'!J20</f>
        <v>3000</v>
      </c>
      <c r="L46" s="64">
        <f>'Internal Use - SUMMARY'!K20</f>
        <v>3000</v>
      </c>
      <c r="M46" s="64">
        <f>'Internal Use - SUMMARY'!L20</f>
        <v>3000</v>
      </c>
      <c r="N46" s="64">
        <f>'Internal Use - SUMMARY'!M20</f>
        <v>3000</v>
      </c>
      <c r="O46" s="64">
        <f>AVERAGE(E46:N46)</f>
        <v>3000</v>
      </c>
      <c r="P46" s="46"/>
    </row>
    <row r="47" spans="2:16" ht="15" customHeight="1">
      <c r="B47" s="41"/>
      <c r="C47" s="69" t="s">
        <v>57</v>
      </c>
      <c r="D47" s="67">
        <f aca="true" t="shared" si="0" ref="D47:O47">SUM(D44:D46)</f>
        <v>0</v>
      </c>
      <c r="E47" s="67">
        <f t="shared" si="0"/>
        <v>5352.686430056</v>
      </c>
      <c r="F47" s="67">
        <f t="shared" si="0"/>
        <v>5352.686430056</v>
      </c>
      <c r="G47" s="67">
        <f t="shared" si="0"/>
        <v>5352.686430056</v>
      </c>
      <c r="H47" s="67">
        <f t="shared" si="0"/>
        <v>5352.686430056</v>
      </c>
      <c r="I47" s="67">
        <f t="shared" si="0"/>
        <v>5352.686430056</v>
      </c>
      <c r="J47" s="67">
        <f t="shared" si="0"/>
        <v>5352.686430056</v>
      </c>
      <c r="K47" s="67">
        <f t="shared" si="0"/>
        <v>5352.686430056</v>
      </c>
      <c r="L47" s="67">
        <f t="shared" si="0"/>
        <v>5352.686430056</v>
      </c>
      <c r="M47" s="67">
        <f t="shared" si="0"/>
        <v>5352.686430056</v>
      </c>
      <c r="N47" s="67">
        <f t="shared" si="0"/>
        <v>5352.686430056</v>
      </c>
      <c r="O47" s="67">
        <f t="shared" si="0"/>
        <v>5352.686430056</v>
      </c>
      <c r="P47" s="46"/>
    </row>
    <row r="48" spans="2:16" ht="15" customHeight="1">
      <c r="B48" s="41"/>
      <c r="C48" s="52"/>
      <c r="D48" s="45"/>
      <c r="E48" s="45"/>
      <c r="F48" s="45"/>
      <c r="G48" s="45"/>
      <c r="H48" s="45"/>
      <c r="I48" s="45"/>
      <c r="J48" s="45"/>
      <c r="K48" s="45"/>
      <c r="L48" s="45"/>
      <c r="M48" s="45"/>
      <c r="N48" s="45"/>
      <c r="O48" s="67"/>
      <c r="P48" s="46"/>
    </row>
    <row r="49" spans="2:16" ht="15" customHeight="1">
      <c r="B49" s="41"/>
      <c r="C49" s="69" t="s">
        <v>101</v>
      </c>
      <c r="D49" s="45"/>
      <c r="E49" s="45"/>
      <c r="F49" s="45"/>
      <c r="G49" s="45"/>
      <c r="H49" s="45"/>
      <c r="I49" s="45"/>
      <c r="J49" s="45"/>
      <c r="K49" s="45"/>
      <c r="L49" s="45"/>
      <c r="M49" s="45"/>
      <c r="N49" s="45"/>
      <c r="O49" s="67"/>
      <c r="P49" s="46"/>
    </row>
    <row r="50" spans="2:16" ht="15" customHeight="1" hidden="1">
      <c r="B50" s="41"/>
      <c r="C50" s="52">
        <f>'Internal Use - SUMMARY'!A21</f>
        <v>0</v>
      </c>
      <c r="D50" s="64">
        <f>'Internal Use - SUMMARY'!C21</f>
        <v>0</v>
      </c>
      <c r="E50" s="64">
        <f>'Internal Use - SUMMARY'!D21</f>
        <v>0</v>
      </c>
      <c r="F50" s="64">
        <f>'Internal Use - SUMMARY'!E21</f>
        <v>0</v>
      </c>
      <c r="G50" s="64">
        <f>'Internal Use - SUMMARY'!F21</f>
        <v>0</v>
      </c>
      <c r="H50" s="64">
        <f>'Internal Use - SUMMARY'!G21</f>
        <v>0</v>
      </c>
      <c r="I50" s="64">
        <f>'Internal Use - SUMMARY'!H21</f>
        <v>0</v>
      </c>
      <c r="J50" s="64">
        <f>'Internal Use - SUMMARY'!I21</f>
        <v>0</v>
      </c>
      <c r="K50" s="64">
        <f>'Internal Use - SUMMARY'!J21</f>
        <v>0</v>
      </c>
      <c r="L50" s="64">
        <f>'Internal Use - SUMMARY'!K21</f>
        <v>0</v>
      </c>
      <c r="M50" s="64">
        <f>'Internal Use - SUMMARY'!L21</f>
        <v>0</v>
      </c>
      <c r="N50" s="64">
        <f>'Internal Use - SUMMARY'!M21</f>
        <v>0</v>
      </c>
      <c r="O50" s="64">
        <f>'Internal Use - SUMMARY'!O21</f>
        <v>0</v>
      </c>
      <c r="P50" s="46"/>
    </row>
    <row r="51" spans="2:16" ht="15" customHeight="1">
      <c r="B51" s="41"/>
      <c r="C51" s="52" t="str">
        <f>'Internal Use - SUMMARY'!A22</f>
        <v>Irrecoverable VAT</v>
      </c>
      <c r="D51" s="64">
        <f>'Internal Use - SUMMARY'!C22</f>
        <v>0</v>
      </c>
      <c r="E51" s="64">
        <f>'Internal Use - SUMMARY'!D22</f>
        <v>282.0082371606719</v>
      </c>
      <c r="F51" s="64">
        <f>'Internal Use - SUMMARY'!E22</f>
        <v>282.2123971606719</v>
      </c>
      <c r="G51" s="64">
        <f>'Internal Use - SUMMARY'!F22</f>
        <v>282.4185987606719</v>
      </c>
      <c r="H51" s="64">
        <f>'Internal Use - SUMMARY'!G22</f>
        <v>282.62686237667197</v>
      </c>
      <c r="I51" s="64">
        <f>'Internal Use - SUMMARY'!H22</f>
        <v>282.83720862883195</v>
      </c>
      <c r="J51" s="64">
        <f>'Internal Use - SUMMARY'!I22</f>
        <v>283.04965834351356</v>
      </c>
      <c r="K51" s="64">
        <f>'Internal Use - SUMMARY'!J22</f>
        <v>283.264232555342</v>
      </c>
      <c r="L51" s="64">
        <f>'Internal Use - SUMMARY'!K22</f>
        <v>283.4809525092886</v>
      </c>
      <c r="M51" s="64">
        <f>'Internal Use - SUMMARY'!L22</f>
        <v>283.6998396627748</v>
      </c>
      <c r="N51" s="64">
        <f>'Internal Use - SUMMARY'!M22</f>
        <v>283.92091568779585</v>
      </c>
      <c r="O51" s="64">
        <f>AVERAGE(E51:N51)</f>
        <v>282.95189028462346</v>
      </c>
      <c r="P51" s="46"/>
    </row>
    <row r="52" spans="2:19" ht="15" customHeight="1">
      <c r="B52" s="41"/>
      <c r="C52" s="52" t="str">
        <f>'Internal Use - SUMMARY'!A23</f>
        <v>Profit &amp; Central Costs</v>
      </c>
      <c r="D52" s="64">
        <f>'Internal Use - SUMMARY'!C23</f>
        <v>0</v>
      </c>
      <c r="E52" s="64">
        <f>'Internal Use - SUMMARY'!D23</f>
        <v>0</v>
      </c>
      <c r="F52" s="64">
        <f>'Internal Use - SUMMARY'!E23</f>
        <v>0</v>
      </c>
      <c r="G52" s="64">
        <f>'Internal Use - SUMMARY'!F23</f>
        <v>0</v>
      </c>
      <c r="H52" s="64">
        <f>'Internal Use - SUMMARY'!G23</f>
        <v>0</v>
      </c>
      <c r="I52" s="64">
        <f>'Internal Use - SUMMARY'!H23</f>
        <v>0</v>
      </c>
      <c r="J52" s="64">
        <f>'Internal Use - SUMMARY'!I23</f>
        <v>0</v>
      </c>
      <c r="K52" s="64">
        <f>'Internal Use - SUMMARY'!J23</f>
        <v>0</v>
      </c>
      <c r="L52" s="64">
        <f>'Internal Use - SUMMARY'!K23</f>
        <v>0</v>
      </c>
      <c r="M52" s="64">
        <f>'Internal Use - SUMMARY'!L23</f>
        <v>0</v>
      </c>
      <c r="N52" s="64">
        <f>'Internal Use - SUMMARY'!M23</f>
        <v>0</v>
      </c>
      <c r="O52" s="64">
        <f>AVERAGE(E52:N52)</f>
        <v>0</v>
      </c>
      <c r="P52" s="46"/>
      <c r="R52" s="45"/>
      <c r="S52" s="45"/>
    </row>
    <row r="53" spans="2:16" ht="15" customHeight="1">
      <c r="B53" s="41"/>
      <c r="C53" s="69" t="s">
        <v>57</v>
      </c>
      <c r="D53" s="67">
        <f>SUM(D51:D52)</f>
        <v>0</v>
      </c>
      <c r="E53" s="67">
        <f aca="true" t="shared" si="1" ref="E53:O53">SUM(E51:E52)</f>
        <v>282.0082371606719</v>
      </c>
      <c r="F53" s="67">
        <f t="shared" si="1"/>
        <v>282.2123971606719</v>
      </c>
      <c r="G53" s="67">
        <f t="shared" si="1"/>
        <v>282.4185987606719</v>
      </c>
      <c r="H53" s="67">
        <f t="shared" si="1"/>
        <v>282.62686237667197</v>
      </c>
      <c r="I53" s="67">
        <f t="shared" si="1"/>
        <v>282.83720862883195</v>
      </c>
      <c r="J53" s="67">
        <f t="shared" si="1"/>
        <v>283.04965834351356</v>
      </c>
      <c r="K53" s="67">
        <f t="shared" si="1"/>
        <v>283.264232555342</v>
      </c>
      <c r="L53" s="67">
        <f t="shared" si="1"/>
        <v>283.4809525092886</v>
      </c>
      <c r="M53" s="67">
        <f t="shared" si="1"/>
        <v>283.6998396627748</v>
      </c>
      <c r="N53" s="67">
        <f t="shared" si="1"/>
        <v>283.92091568779585</v>
      </c>
      <c r="O53" s="67">
        <f t="shared" si="1"/>
        <v>282.95189028462346</v>
      </c>
      <c r="P53" s="46"/>
    </row>
    <row r="54" spans="2:16" ht="15" customHeight="1">
      <c r="B54" s="41"/>
      <c r="C54" s="69"/>
      <c r="D54" s="67"/>
      <c r="E54" s="67"/>
      <c r="F54" s="67"/>
      <c r="G54" s="67"/>
      <c r="H54" s="67"/>
      <c r="I54" s="67"/>
      <c r="J54" s="67"/>
      <c r="K54" s="67"/>
      <c r="L54" s="67"/>
      <c r="M54" s="67"/>
      <c r="N54" s="67"/>
      <c r="O54" s="67"/>
      <c r="P54" s="46"/>
    </row>
    <row r="55" spans="2:16" ht="15" customHeight="1">
      <c r="B55" s="41"/>
      <c r="C55" s="66" t="s">
        <v>4</v>
      </c>
      <c r="D55" s="325">
        <f>'Internal Use - SUMMARY'!C24</f>
        <v>0</v>
      </c>
      <c r="E55" s="325">
        <f>'Internal Use - SUMMARY'!D24</f>
        <v>29307.428000550008</v>
      </c>
      <c r="F55" s="325">
        <f>'Internal Use - SUMMARY'!E24</f>
        <v>29312.736160550005</v>
      </c>
      <c r="G55" s="325">
        <f>'Internal Use - SUMMARY'!F24</f>
        <v>29318.097402150004</v>
      </c>
      <c r="H55" s="325">
        <f>'Internal Use - SUMMARY'!G24</f>
        <v>29323.512256166006</v>
      </c>
      <c r="I55" s="325">
        <f>'Internal Use - SUMMARY'!H24</f>
        <v>29328.981258722164</v>
      </c>
      <c r="J55" s="325">
        <f>'Internal Use - SUMMARY'!I24</f>
        <v>29334.504951303887</v>
      </c>
      <c r="K55" s="325">
        <f>'Internal Use - SUMMARY'!J24</f>
        <v>29340.083880811428</v>
      </c>
      <c r="L55" s="325">
        <f>'Internal Use - SUMMARY'!K24</f>
        <v>29345.71859961404</v>
      </c>
      <c r="M55" s="325">
        <f>'Internal Use - SUMMARY'!L24</f>
        <v>29351.40966560468</v>
      </c>
      <c r="N55" s="325">
        <f>'Internal Use - SUMMARY'!M24</f>
        <v>29357.157642255224</v>
      </c>
      <c r="O55" s="325">
        <f>AVERAGE(E55:N55)</f>
        <v>29331.962981772747</v>
      </c>
      <c r="P55" s="46"/>
    </row>
    <row r="56" spans="2:16" ht="15" customHeight="1" thickBot="1">
      <c r="B56" s="56"/>
      <c r="C56" s="71" t="s">
        <v>10</v>
      </c>
      <c r="D56" s="57"/>
      <c r="E56" s="57"/>
      <c r="F56" s="57"/>
      <c r="G56" s="57"/>
      <c r="H56" s="57"/>
      <c r="I56" s="57"/>
      <c r="J56" s="57"/>
      <c r="K56" s="57"/>
      <c r="L56" s="57"/>
      <c r="M56" s="57"/>
      <c r="N56" s="57"/>
      <c r="O56" s="57"/>
      <c r="P56" s="58"/>
    </row>
    <row r="57" spans="3:18" ht="15" customHeight="1" thickBot="1">
      <c r="C57" s="72"/>
      <c r="R57" s="54"/>
    </row>
    <row r="58" spans="2:16" ht="15" customHeight="1">
      <c r="B58" s="36"/>
      <c r="C58" s="53"/>
      <c r="D58" s="37"/>
      <c r="E58" s="37"/>
      <c r="F58" s="37"/>
      <c r="G58" s="37"/>
      <c r="H58" s="37"/>
      <c r="I58" s="37"/>
      <c r="J58" s="37"/>
      <c r="K58" s="37"/>
      <c r="L58" s="37"/>
      <c r="M58" s="37"/>
      <c r="N58" s="37"/>
      <c r="O58" s="37"/>
      <c r="P58" s="51"/>
    </row>
    <row r="59" spans="2:16" ht="15" customHeight="1">
      <c r="B59" s="41"/>
      <c r="C59" s="340" t="s">
        <v>108</v>
      </c>
      <c r="D59" s="335">
        <f>'Internal Use - SUMMARY'!C26</f>
        <v>0</v>
      </c>
      <c r="E59" s="335">
        <f>'Internal Use - SUMMARY'!D26</f>
        <v>1412.5719994499923</v>
      </c>
      <c r="F59" s="335">
        <f>'Internal Use - SUMMARY'!E26</f>
        <v>1662.4638394499962</v>
      </c>
      <c r="G59" s="335">
        <f>'Internal Use - SUMMARY'!F26</f>
        <v>1914.8545978499933</v>
      </c>
      <c r="H59" s="335">
        <f>'Internal Use - SUMMARY'!G26</f>
        <v>2169.7692638339977</v>
      </c>
      <c r="I59" s="335">
        <f>'Internal Use - SUMMARY'!H26</f>
        <v>2427.2330764778344</v>
      </c>
      <c r="J59" s="335">
        <f>'Internal Use - SUMMARY'!I26</f>
        <v>2687.271527248118</v>
      </c>
      <c r="K59" s="335">
        <f>'Internal Use - SUMMARY'!J26</f>
        <v>2949.9103625260977</v>
      </c>
      <c r="L59" s="335">
        <f>'Internal Use - SUMMARY'!K26</f>
        <v>3215.17558615686</v>
      </c>
      <c r="M59" s="335">
        <f>'Internal Use - SUMMARY'!L26</f>
        <v>3483.0934620239314</v>
      </c>
      <c r="N59" s="335">
        <f>'Internal Use - SUMMARY'!M26</f>
        <v>3753.6905166496654</v>
      </c>
      <c r="O59" s="335">
        <f>AVERAGE(E59:N60)</f>
        <v>2567.6034231666486</v>
      </c>
      <c r="P59" s="46"/>
    </row>
    <row r="60" spans="2:18" ht="15" customHeight="1">
      <c r="B60" s="41"/>
      <c r="C60" s="341"/>
      <c r="D60" s="336"/>
      <c r="E60" s="336"/>
      <c r="F60" s="336"/>
      <c r="G60" s="336"/>
      <c r="H60" s="336"/>
      <c r="I60" s="336"/>
      <c r="J60" s="336"/>
      <c r="K60" s="336"/>
      <c r="L60" s="336"/>
      <c r="M60" s="336"/>
      <c r="N60" s="336"/>
      <c r="O60" s="336"/>
      <c r="P60" s="46"/>
      <c r="R60" s="54"/>
    </row>
    <row r="61" spans="2:16" ht="15" customHeight="1">
      <c r="B61" s="41"/>
      <c r="C61" s="45"/>
      <c r="D61" s="55"/>
      <c r="E61" s="55"/>
      <c r="F61" s="55"/>
      <c r="G61" s="55"/>
      <c r="H61" s="55"/>
      <c r="I61" s="55"/>
      <c r="J61" s="55"/>
      <c r="K61" s="55"/>
      <c r="L61" s="55"/>
      <c r="M61" s="55"/>
      <c r="N61" s="55"/>
      <c r="O61" s="55"/>
      <c r="P61" s="46"/>
    </row>
    <row r="62" spans="2:16" ht="15" customHeight="1">
      <c r="B62" s="41"/>
      <c r="C62" s="73" t="s">
        <v>73</v>
      </c>
      <c r="D62" s="74">
        <f>'Internal Use - SUMMARY'!C28</f>
        <v>0</v>
      </c>
      <c r="E62" s="74">
        <f>'Internal Use - SUMMARY'!D28</f>
        <v>2170.905332783326</v>
      </c>
      <c r="F62" s="74">
        <f>'Internal Use - SUMMARY'!E28</f>
        <v>2420.7971727833296</v>
      </c>
      <c r="G62" s="74">
        <f>'Internal Use - SUMMARY'!F28</f>
        <v>2673.187931183327</v>
      </c>
      <c r="H62" s="74">
        <f>'Internal Use - SUMMARY'!G28</f>
        <v>2928.102597167331</v>
      </c>
      <c r="I62" s="74">
        <f>'Internal Use - SUMMARY'!H28</f>
        <v>3185.566409811168</v>
      </c>
      <c r="J62" s="74">
        <f>'Internal Use - SUMMARY'!I28</f>
        <v>3445.6048605814517</v>
      </c>
      <c r="K62" s="74">
        <f>'Internal Use - SUMMARY'!J28</f>
        <v>3708.243695859431</v>
      </c>
      <c r="L62" s="74">
        <f>'Internal Use - SUMMARY'!K28</f>
        <v>3973.5089194901934</v>
      </c>
      <c r="M62" s="74">
        <f>'Internal Use - SUMMARY'!L28</f>
        <v>4241.426795357264</v>
      </c>
      <c r="N62" s="74">
        <f>'Internal Use - SUMMARY'!M28</f>
        <v>4512.023849982998</v>
      </c>
      <c r="O62" s="64">
        <f>AVERAGE(E62:N62)</f>
        <v>3325.936756499982</v>
      </c>
      <c r="P62" s="46"/>
    </row>
    <row r="63" spans="2:17" ht="15" customHeight="1" thickBot="1">
      <c r="B63" s="56"/>
      <c r="C63" s="57"/>
      <c r="D63" s="57"/>
      <c r="E63" s="57"/>
      <c r="F63" s="57"/>
      <c r="G63" s="57"/>
      <c r="H63" s="57"/>
      <c r="I63" s="57"/>
      <c r="J63" s="57"/>
      <c r="K63" s="57"/>
      <c r="L63" s="57"/>
      <c r="M63" s="57"/>
      <c r="N63" s="57"/>
      <c r="O63" s="57"/>
      <c r="P63" s="58"/>
      <c r="Q63" s="45"/>
    </row>
    <row r="64" spans="2:18" ht="15" customHeight="1" thickBot="1">
      <c r="B64" s="45"/>
      <c r="C64" s="45"/>
      <c r="D64" s="45"/>
      <c r="E64" s="45"/>
      <c r="F64" s="45"/>
      <c r="G64" s="45"/>
      <c r="H64" s="45"/>
      <c r="I64" s="45"/>
      <c r="J64" s="45"/>
      <c r="K64" s="45"/>
      <c r="L64" s="45"/>
      <c r="M64" s="45"/>
      <c r="N64" s="45"/>
      <c r="O64" s="45"/>
      <c r="P64" s="45"/>
      <c r="Q64" s="45"/>
      <c r="R64" s="35" t="s">
        <v>117</v>
      </c>
    </row>
    <row r="65" spans="2:17" ht="15" customHeight="1">
      <c r="B65" s="36"/>
      <c r="C65" s="37"/>
      <c r="D65" s="37"/>
      <c r="E65" s="37"/>
      <c r="F65" s="37"/>
      <c r="G65" s="37"/>
      <c r="H65" s="37"/>
      <c r="I65" s="37"/>
      <c r="J65" s="37"/>
      <c r="K65" s="37"/>
      <c r="L65" s="37"/>
      <c r="M65" s="37"/>
      <c r="N65" s="37"/>
      <c r="O65" s="37"/>
      <c r="P65" s="51"/>
      <c r="Q65" s="45"/>
    </row>
    <row r="66" spans="2:17" ht="15" customHeight="1">
      <c r="B66" s="41"/>
      <c r="C66" s="65"/>
      <c r="D66" s="65"/>
      <c r="E66" s="346" t="s">
        <v>60</v>
      </c>
      <c r="F66" s="347"/>
      <c r="G66" s="347"/>
      <c r="H66" s="347"/>
      <c r="I66" s="347"/>
      <c r="J66" s="348"/>
      <c r="K66" s="348"/>
      <c r="L66" s="348"/>
      <c r="M66" s="348"/>
      <c r="N66" s="349"/>
      <c r="O66" s="43"/>
      <c r="P66" s="46"/>
      <c r="Q66" s="45"/>
    </row>
    <row r="67" spans="2:17" ht="15" customHeight="1">
      <c r="B67" s="41"/>
      <c r="C67" s="45"/>
      <c r="D67" s="45"/>
      <c r="E67" s="337">
        <v>1</v>
      </c>
      <c r="F67" s="337">
        <v>2</v>
      </c>
      <c r="G67" s="337">
        <v>3</v>
      </c>
      <c r="H67" s="337">
        <v>4</v>
      </c>
      <c r="I67" s="337">
        <v>5</v>
      </c>
      <c r="J67" s="337">
        <v>6</v>
      </c>
      <c r="K67" s="337">
        <v>7</v>
      </c>
      <c r="L67" s="337">
        <v>8</v>
      </c>
      <c r="M67" s="337">
        <v>9</v>
      </c>
      <c r="N67" s="337">
        <v>10</v>
      </c>
      <c r="O67" s="75"/>
      <c r="P67" s="46"/>
      <c r="Q67" s="45"/>
    </row>
    <row r="68" spans="2:17" ht="15" customHeight="1">
      <c r="B68" s="41"/>
      <c r="C68" s="76" t="s">
        <v>32</v>
      </c>
      <c r="D68" s="76"/>
      <c r="E68" s="338"/>
      <c r="F68" s="338"/>
      <c r="G68" s="338"/>
      <c r="H68" s="338"/>
      <c r="I68" s="338"/>
      <c r="J68" s="338"/>
      <c r="K68" s="338"/>
      <c r="L68" s="338"/>
      <c r="M68" s="338"/>
      <c r="N68" s="338"/>
      <c r="O68" s="63"/>
      <c r="P68" s="46"/>
      <c r="Q68" s="45"/>
    </row>
    <row r="69" spans="2:17" ht="15" customHeight="1">
      <c r="B69" s="41"/>
      <c r="C69" s="45"/>
      <c r="D69" s="45"/>
      <c r="E69" s="45"/>
      <c r="F69" s="45"/>
      <c r="G69" s="45"/>
      <c r="H69" s="45"/>
      <c r="I69" s="45"/>
      <c r="J69" s="45"/>
      <c r="K69" s="45"/>
      <c r="L69" s="45"/>
      <c r="M69" s="45"/>
      <c r="N69" s="45"/>
      <c r="O69" s="45"/>
      <c r="P69" s="46"/>
      <c r="Q69" s="45"/>
    </row>
    <row r="70" spans="2:17" ht="15" customHeight="1">
      <c r="B70" s="41"/>
      <c r="C70" s="65" t="str">
        <f>'Internal Use - SUMMARY'!A33</f>
        <v>Match Day Visits</v>
      </c>
      <c r="D70" s="65"/>
      <c r="E70" s="64">
        <f>'Internal Use - SUMMARY'!D33</f>
        <v>3000</v>
      </c>
      <c r="F70" s="64">
        <f>'Internal Use - SUMMARY'!E33</f>
        <v>3000</v>
      </c>
      <c r="G70" s="64">
        <f>'Internal Use - SUMMARY'!F33</f>
        <v>3000</v>
      </c>
      <c r="H70" s="64">
        <f>'Internal Use - SUMMARY'!G33</f>
        <v>3000</v>
      </c>
      <c r="I70" s="79">
        <f>'Internal Use - SUMMARY'!H33</f>
        <v>3000</v>
      </c>
      <c r="J70" s="64">
        <f>'Internal Use - SUMMARY'!I33</f>
        <v>3000</v>
      </c>
      <c r="K70" s="64">
        <f>'Internal Use - SUMMARY'!J33</f>
        <v>3000</v>
      </c>
      <c r="L70" s="64">
        <f>'Internal Use - SUMMARY'!K33</f>
        <v>3000</v>
      </c>
      <c r="M70" s="64">
        <f>'Internal Use - SUMMARY'!L33</f>
        <v>3000</v>
      </c>
      <c r="N70" s="64">
        <f>'Internal Use - SUMMARY'!M33</f>
        <v>3000</v>
      </c>
      <c r="O70" s="67"/>
      <c r="P70" s="46"/>
      <c r="Q70" s="45"/>
    </row>
    <row r="71" spans="2:17" ht="15" customHeight="1">
      <c r="B71" s="41"/>
      <c r="C71" s="65" t="str">
        <f>'Internal Use - SUMMARY'!A34</f>
        <v>Training Visits</v>
      </c>
      <c r="D71" s="65"/>
      <c r="E71" s="64">
        <f>'Internal Use - SUMMARY'!D34</f>
        <v>3600</v>
      </c>
      <c r="F71" s="64">
        <f>'Internal Use - SUMMARY'!E34</f>
        <v>3600</v>
      </c>
      <c r="G71" s="64">
        <f>'Internal Use - SUMMARY'!F34</f>
        <v>3600</v>
      </c>
      <c r="H71" s="64">
        <f>'Internal Use - SUMMARY'!G34</f>
        <v>3600</v>
      </c>
      <c r="I71" s="80">
        <f>'Internal Use - SUMMARY'!H34</f>
        <v>3600</v>
      </c>
      <c r="J71" s="64">
        <f>'Internal Use - SUMMARY'!I34</f>
        <v>3600</v>
      </c>
      <c r="K71" s="64">
        <f>'Internal Use - SUMMARY'!J34</f>
        <v>3600</v>
      </c>
      <c r="L71" s="64">
        <f>'Internal Use - SUMMARY'!K34</f>
        <v>3600</v>
      </c>
      <c r="M71" s="64">
        <f>'Internal Use - SUMMARY'!L34</f>
        <v>3600</v>
      </c>
      <c r="N71" s="64">
        <f>'Internal Use - SUMMARY'!M34</f>
        <v>3600</v>
      </c>
      <c r="O71" s="67"/>
      <c r="P71" s="46"/>
      <c r="Q71" s="45"/>
    </row>
    <row r="72" spans="2:17" ht="15" customHeight="1">
      <c r="B72" s="41"/>
      <c r="C72" s="65"/>
      <c r="D72" s="65"/>
      <c r="E72" s="45"/>
      <c r="F72" s="45"/>
      <c r="G72" s="45"/>
      <c r="H72" s="45"/>
      <c r="I72" s="45"/>
      <c r="J72" s="45"/>
      <c r="K72" s="45"/>
      <c r="L72" s="45"/>
      <c r="M72" s="45"/>
      <c r="N72" s="45"/>
      <c r="O72" s="45"/>
      <c r="P72" s="46"/>
      <c r="Q72" s="45"/>
    </row>
    <row r="73" spans="2:17" ht="15" customHeight="1">
      <c r="B73" s="41"/>
      <c r="C73" s="76" t="s">
        <v>3</v>
      </c>
      <c r="D73" s="149"/>
      <c r="E73" s="77">
        <f>'Internal Use - SUMMARY'!D36</f>
        <v>6600</v>
      </c>
      <c r="F73" s="77">
        <f>'Internal Use - SUMMARY'!E36</f>
        <v>6600</v>
      </c>
      <c r="G73" s="77">
        <f>'Internal Use - SUMMARY'!F36</f>
        <v>6600</v>
      </c>
      <c r="H73" s="77">
        <f>'Internal Use - SUMMARY'!G36</f>
        <v>6600</v>
      </c>
      <c r="I73" s="77">
        <f>'Internal Use - SUMMARY'!H36</f>
        <v>6600</v>
      </c>
      <c r="J73" s="77">
        <f>'Internal Use - SUMMARY'!I36</f>
        <v>6600</v>
      </c>
      <c r="K73" s="77">
        <f>'Internal Use - SUMMARY'!J36</f>
        <v>6600</v>
      </c>
      <c r="L73" s="77">
        <f>'Internal Use - SUMMARY'!K36</f>
        <v>6600</v>
      </c>
      <c r="M73" s="77">
        <f>'Internal Use - SUMMARY'!L36</f>
        <v>6600</v>
      </c>
      <c r="N73" s="77">
        <f>'Internal Use - SUMMARY'!M36</f>
        <v>6600</v>
      </c>
      <c r="O73" s="78"/>
      <c r="P73" s="46"/>
      <c r="Q73" s="45"/>
    </row>
    <row r="74" spans="2:17" ht="15" customHeight="1" thickBot="1">
      <c r="B74" s="56"/>
      <c r="C74" s="57"/>
      <c r="D74" s="57"/>
      <c r="E74" s="57"/>
      <c r="F74" s="57"/>
      <c r="G74" s="57"/>
      <c r="H74" s="57"/>
      <c r="I74" s="57"/>
      <c r="J74" s="57"/>
      <c r="K74" s="57"/>
      <c r="L74" s="57"/>
      <c r="M74" s="57"/>
      <c r="N74" s="57"/>
      <c r="O74" s="57"/>
      <c r="P74" s="58"/>
      <c r="Q74" s="45"/>
    </row>
    <row r="75" ht="15" customHeight="1"/>
    <row r="76" ht="12.75" customHeight="1"/>
    <row r="77" ht="12.75" customHeight="1"/>
    <row r="78" spans="5:15" ht="12.75" customHeight="1">
      <c r="E78" s="54"/>
      <c r="F78" s="54"/>
      <c r="G78" s="54"/>
      <c r="H78" s="54"/>
      <c r="I78" s="54"/>
      <c r="J78" s="54"/>
      <c r="K78" s="54"/>
      <c r="L78" s="54"/>
      <c r="M78" s="54"/>
      <c r="N78" s="54"/>
      <c r="O78" s="54"/>
    </row>
    <row r="79" spans="5:15" ht="12.75" customHeight="1">
      <c r="E79" s="54"/>
      <c r="F79" s="54"/>
      <c r="G79" s="54"/>
      <c r="H79" s="54"/>
      <c r="I79" s="54"/>
      <c r="J79" s="54"/>
      <c r="K79" s="54"/>
      <c r="L79" s="54"/>
      <c r="M79" s="54"/>
      <c r="N79" s="54"/>
      <c r="O79" s="54"/>
    </row>
    <row r="80" spans="5:15" ht="12.75" customHeight="1">
      <c r="E80" s="54"/>
      <c r="F80" s="54"/>
      <c r="G80" s="54"/>
      <c r="H80" s="54"/>
      <c r="I80" s="54"/>
      <c r="J80" s="54"/>
      <c r="K80" s="54"/>
      <c r="L80" s="54"/>
      <c r="M80" s="54"/>
      <c r="N80" s="54"/>
      <c r="O80" s="54"/>
    </row>
    <row r="81" ht="12.75" customHeight="1"/>
    <row r="82" ht="12.75" customHeight="1"/>
    <row r="83" ht="12.75" customHeight="1"/>
    <row r="84" ht="12.75" customHeight="1"/>
    <row r="85" ht="12.75" customHeight="1"/>
  </sheetData>
  <sheetProtection/>
  <mergeCells count="52">
    <mergeCell ref="O59:O60"/>
    <mergeCell ref="J67:J68"/>
    <mergeCell ref="K67:K68"/>
    <mergeCell ref="L67:L68"/>
    <mergeCell ref="M67:M68"/>
    <mergeCell ref="N67:N68"/>
    <mergeCell ref="E66:N66"/>
    <mergeCell ref="H67:H68"/>
    <mergeCell ref="I67:I68"/>
    <mergeCell ref="J59:J60"/>
    <mergeCell ref="J15:J16"/>
    <mergeCell ref="K15:K16"/>
    <mergeCell ref="L15:L16"/>
    <mergeCell ref="K30:K31"/>
    <mergeCell ref="L30:L31"/>
    <mergeCell ref="M30:M31"/>
    <mergeCell ref="L59:L60"/>
    <mergeCell ref="M59:M60"/>
    <mergeCell ref="N59:N60"/>
    <mergeCell ref="J30:J31"/>
    <mergeCell ref="F30:F31"/>
    <mergeCell ref="N30:N31"/>
    <mergeCell ref="E14:N14"/>
    <mergeCell ref="E29:N29"/>
    <mergeCell ref="E67:E68"/>
    <mergeCell ref="F67:F68"/>
    <mergeCell ref="G67:G68"/>
    <mergeCell ref="G15:G16"/>
    <mergeCell ref="H15:H16"/>
    <mergeCell ref="G59:G60"/>
    <mergeCell ref="I15:I16"/>
    <mergeCell ref="E30:E31"/>
    <mergeCell ref="O15:O16"/>
    <mergeCell ref="O30:O31"/>
    <mergeCell ref="E15:E16"/>
    <mergeCell ref="F15:F16"/>
    <mergeCell ref="H59:H60"/>
    <mergeCell ref="I30:I31"/>
    <mergeCell ref="M15:M16"/>
    <mergeCell ref="N15:N16"/>
    <mergeCell ref="I59:I60"/>
    <mergeCell ref="K59:K60"/>
    <mergeCell ref="D15:D16"/>
    <mergeCell ref="D30:D31"/>
    <mergeCell ref="D59:D60"/>
    <mergeCell ref="G30:G31"/>
    <mergeCell ref="H30:H31"/>
    <mergeCell ref="A11:Q11"/>
    <mergeCell ref="A12:Q12"/>
    <mergeCell ref="C59:C60"/>
    <mergeCell ref="E59:E60"/>
    <mergeCell ref="F59:F60"/>
  </mergeCells>
  <printOptions/>
  <pageMargins left="0.1968503937007874" right="0.1968503937007874" top="0.1968503937007874" bottom="0.1968503937007874" header="0.5118110236220472" footer="0.5118110236220472"/>
  <pageSetup fitToHeight="1" fitToWidth="1"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codeName="Sheet28">
    <tabColor rgb="FF002060"/>
  </sheetPr>
  <dimension ref="A11:N82"/>
  <sheetViews>
    <sheetView showGridLines="0" zoomScale="75" zoomScaleNormal="75" zoomScaleSheetLayoutView="75" zoomScalePageLayoutView="0" workbookViewId="0" topLeftCell="A60">
      <selection activeCell="C33" sqref="C33"/>
    </sheetView>
  </sheetViews>
  <sheetFormatPr defaultColWidth="11.421875" defaultRowHeight="12.75"/>
  <cols>
    <col min="1" max="1" width="3.7109375" style="81" customWidth="1"/>
    <col min="2" max="2" width="4.7109375" style="81" customWidth="1"/>
    <col min="3" max="3" width="72.00390625" style="81" customWidth="1"/>
    <col min="4" max="4" width="3.7109375" style="81" customWidth="1"/>
    <col min="5" max="14" width="12.57421875" style="81" customWidth="1"/>
    <col min="15" max="19" width="11.421875" style="81" customWidth="1"/>
    <col min="20" max="20" width="3.8515625" style="81" customWidth="1"/>
    <col min="21" max="16384" width="11.421875" style="81" customWidth="1"/>
  </cols>
  <sheetData>
    <row r="1" ht="12.75"/>
    <row r="2" ht="12.75"/>
    <row r="3" ht="12.75"/>
    <row r="4" ht="12.75"/>
    <row r="5" ht="12.75"/>
    <row r="6" ht="12.75"/>
    <row r="7" ht="12.75"/>
    <row r="8" ht="12.75"/>
    <row r="9" ht="12.75"/>
    <row r="10" ht="12.75"/>
    <row r="11" spans="1:14" ht="28.5" customHeight="1">
      <c r="A11" s="355" t="str">
        <f>'Financial Summary (1)'!A11:Q11</f>
        <v>England Hockey</v>
      </c>
      <c r="B11" s="355"/>
      <c r="C11" s="355"/>
      <c r="D11" s="355"/>
      <c r="E11" s="355"/>
      <c r="F11" s="355"/>
      <c r="G11" s="355"/>
      <c r="H11" s="355"/>
      <c r="I11" s="355"/>
      <c r="J11" s="355"/>
      <c r="K11" s="355"/>
      <c r="L11" s="355"/>
      <c r="M11" s="355"/>
      <c r="N11" s="355"/>
    </row>
    <row r="12" spans="1:14" ht="24" customHeight="1">
      <c r="A12" s="355" t="str">
        <f>'Financial Summary (1)'!A12:Q12</f>
        <v>Non-Asset Owning Club</v>
      </c>
      <c r="B12" s="355"/>
      <c r="C12" s="355"/>
      <c r="D12" s="355"/>
      <c r="E12" s="355"/>
      <c r="F12" s="355"/>
      <c r="G12" s="355"/>
      <c r="H12" s="355"/>
      <c r="I12" s="355"/>
      <c r="J12" s="355"/>
      <c r="K12" s="355"/>
      <c r="L12" s="355"/>
      <c r="M12" s="355"/>
      <c r="N12" s="355"/>
    </row>
    <row r="13" ht="15" customHeight="1"/>
    <row r="14" spans="2:14" ht="15" customHeight="1" hidden="1">
      <c r="B14" s="36"/>
      <c r="C14" s="37"/>
      <c r="D14" s="37"/>
      <c r="E14" s="37"/>
      <c r="F14" s="37"/>
      <c r="G14" s="37"/>
      <c r="H14" s="37"/>
      <c r="I14" s="37"/>
      <c r="J14" s="37"/>
      <c r="K14" s="37"/>
      <c r="L14" s="37"/>
      <c r="M14" s="37"/>
      <c r="N14" s="51"/>
    </row>
    <row r="15" spans="2:14" ht="15" customHeight="1" hidden="1">
      <c r="B15" s="41"/>
      <c r="C15" s="350" t="s">
        <v>78</v>
      </c>
      <c r="D15" s="96"/>
      <c r="E15" s="352" t="s">
        <v>70</v>
      </c>
      <c r="F15" s="353"/>
      <c r="G15" s="353"/>
      <c r="H15" s="353"/>
      <c r="I15" s="353"/>
      <c r="J15" s="353"/>
      <c r="K15" s="353"/>
      <c r="L15" s="353"/>
      <c r="M15" s="353"/>
      <c r="N15" s="354"/>
    </row>
    <row r="16" spans="2:14" ht="15" customHeight="1" hidden="1">
      <c r="B16" s="41"/>
      <c r="C16" s="351"/>
      <c r="D16" s="82"/>
      <c r="E16" s="97">
        <v>1</v>
      </c>
      <c r="F16" s="97">
        <v>2</v>
      </c>
      <c r="G16" s="97">
        <v>3</v>
      </c>
      <c r="H16" s="97">
        <v>4</v>
      </c>
      <c r="I16" s="97">
        <v>5</v>
      </c>
      <c r="J16" s="97">
        <v>6</v>
      </c>
      <c r="K16" s="97">
        <v>7</v>
      </c>
      <c r="L16" s="97">
        <v>8</v>
      </c>
      <c r="M16" s="97">
        <v>9</v>
      </c>
      <c r="N16" s="97">
        <v>10</v>
      </c>
    </row>
    <row r="17" spans="2:14" ht="15" customHeight="1" hidden="1">
      <c r="B17" s="41"/>
      <c r="C17" s="82"/>
      <c r="D17" s="82"/>
      <c r="E17" s="98"/>
      <c r="F17" s="98"/>
      <c r="G17" s="98"/>
      <c r="H17" s="98"/>
      <c r="I17" s="98"/>
      <c r="J17" s="99"/>
      <c r="K17" s="99"/>
      <c r="L17" s="99"/>
      <c r="M17" s="99"/>
      <c r="N17" s="46"/>
    </row>
    <row r="18" spans="2:14" ht="15" customHeight="1" hidden="1">
      <c r="B18" s="41"/>
      <c r="C18" s="45" t="s">
        <v>35</v>
      </c>
      <c r="D18" s="45"/>
      <c r="E18" s="100">
        <f>'Financial Summary (1)'!E36/'Financial Summary (1)'!E$24</f>
        <v>0.1318359375</v>
      </c>
      <c r="F18" s="100">
        <f>'Financial Summary (1)'!F36/'Financial Summary (1)'!F$24</f>
        <v>0.13074976109920194</v>
      </c>
      <c r="G18" s="100">
        <f>'Financial Summary (1)'!G36/'Financial Summary (1)'!G$24</f>
        <v>0.12967074005684767</v>
      </c>
      <c r="H18" s="100">
        <f>'Financial Summary (1)'!H36/'Financial Summary (1)'!H$24</f>
        <v>0.128598856788805</v>
      </c>
      <c r="I18" s="100">
        <f>'Financial Summary (1)'!I36/'Financial Summary (1)'!I$24</f>
        <v>0.12753409324079287</v>
      </c>
      <c r="J18" s="100">
        <f>'Financial Summary (1)'!J36/'Financial Summary (1)'!J$24</f>
        <v>0.12647643089735092</v>
      </c>
      <c r="K18" s="100">
        <f>'Financial Summary (1)'!K36/'Financial Summary (1)'!K$24</f>
        <v>0.12542585079078009</v>
      </c>
      <c r="L18" s="100">
        <f>'Financial Summary (1)'!L36/'Financial Summary (1)'!L$24</f>
        <v>0.12438233351004988</v>
      </c>
      <c r="M18" s="100">
        <f>'Financial Summary (1)'!M36/'Financial Summary (1)'!M$24</f>
        <v>0.12334585920967159</v>
      </c>
      <c r="N18" s="100">
        <f>'Financial Summary (1)'!N36/'Financial Summary (1)'!N$24</f>
        <v>0.1223164076185341</v>
      </c>
    </row>
    <row r="19" spans="2:14" ht="15" customHeight="1" hidden="1">
      <c r="B19" s="41"/>
      <c r="C19" s="45" t="s">
        <v>47</v>
      </c>
      <c r="D19" s="45"/>
      <c r="E19" s="100">
        <f>'Financial Summary (1)'!E40/'Financial Summary (1)'!E$24</f>
        <v>0.02</v>
      </c>
      <c r="F19" s="100">
        <f>'Financial Summary (1)'!F40/'Financial Summary (1)'!F$24</f>
        <v>0.02</v>
      </c>
      <c r="G19" s="100">
        <f>'Financial Summary (1)'!G40/'Financial Summary (1)'!G$24</f>
        <v>0.02</v>
      </c>
      <c r="H19" s="100">
        <f>'Financial Summary (1)'!H40/'Financial Summary (1)'!H$24</f>
        <v>0.02</v>
      </c>
      <c r="I19" s="100">
        <f>'Financial Summary (1)'!I40/'Financial Summary (1)'!I$24</f>
        <v>0.02</v>
      </c>
      <c r="J19" s="100">
        <f>'Financial Summary (1)'!J40/'Financial Summary (1)'!J$24</f>
        <v>0.02</v>
      </c>
      <c r="K19" s="100">
        <f>'Financial Summary (1)'!K40/'Financial Summary (1)'!K$24</f>
        <v>0.02</v>
      </c>
      <c r="L19" s="100">
        <f>'Financial Summary (1)'!L40/'Financial Summary (1)'!L$24</f>
        <v>0.02</v>
      </c>
      <c r="M19" s="100">
        <f>'Financial Summary (1)'!M40/'Financial Summary (1)'!M$24</f>
        <v>0.02</v>
      </c>
      <c r="N19" s="100">
        <f>'Financial Summary (1)'!N40/'Financial Summary (1)'!N$24</f>
        <v>0.02</v>
      </c>
    </row>
    <row r="20" spans="2:14" ht="15" customHeight="1" hidden="1">
      <c r="B20" s="41"/>
      <c r="C20" s="45" t="s">
        <v>59</v>
      </c>
      <c r="D20" s="45"/>
      <c r="E20" s="100">
        <f>SUM('Financial Summary (1)'!E44:E45)/'Financial Summary (1)'!E$24</f>
        <v>0.07658484472838542</v>
      </c>
      <c r="F20" s="100">
        <f>SUM('Financial Summary (1)'!F44:F45)/'Financial Summary (1)'!F$24</f>
        <v>0.07595387374596452</v>
      </c>
      <c r="G20" s="100">
        <f>SUM('Financial Summary (1)'!G44:G45)/'Financial Summary (1)'!G$24</f>
        <v>0.07532705938446037</v>
      </c>
      <c r="H20" s="100">
        <f>SUM('Financial Summary (1)'!H44:H45)/'Financial Summary (1)'!H$24</f>
        <v>0.07470439142907073</v>
      </c>
      <c r="I20" s="100">
        <f>SUM('Financial Summary (1)'!I44:I45)/'Financial Summary (1)'!I$24</f>
        <v>0.07408585939187902</v>
      </c>
      <c r="J20" s="100">
        <f>SUM('Financial Summary (1)'!J44:J45)/'Financial Summary (1)'!J$24</f>
        <v>0.07347145251706493</v>
      </c>
      <c r="K20" s="100">
        <f>SUM('Financial Summary (1)'!K44:K45)/'Financial Summary (1)'!K$24</f>
        <v>0.072861159786098</v>
      </c>
      <c r="L20" s="100">
        <f>SUM('Financial Summary (1)'!L44:L45)/'Financial Summary (1)'!L$24</f>
        <v>0.07225496992291211</v>
      </c>
      <c r="M20" s="100">
        <f>SUM('Financial Summary (1)'!M44:M45)/'Financial Summary (1)'!M$24</f>
        <v>0.07165287139905982</v>
      </c>
      <c r="N20" s="100">
        <f>SUM('Financial Summary (1)'!N44:N45)/'Financial Summary (1)'!N$24</f>
        <v>0.07105485243884532</v>
      </c>
    </row>
    <row r="21" spans="2:14" ht="15" customHeight="1" hidden="1">
      <c r="B21" s="41"/>
      <c r="C21" s="45" t="s">
        <v>71</v>
      </c>
      <c r="D21" s="45"/>
      <c r="E21" s="100">
        <f>'Financial Summary (1)'!E46/'Financial Summary (1)'!E$24</f>
        <v>0.09765625</v>
      </c>
      <c r="F21" s="100">
        <f>'Financial Summary (1)'!F46/'Financial Summary (1)'!F$24</f>
        <v>0.09685167488829773</v>
      </c>
      <c r="G21" s="100">
        <f>'Financial Summary (1)'!G46/'Financial Summary (1)'!G$24</f>
        <v>0.09605240004210938</v>
      </c>
      <c r="H21" s="100">
        <f>'Financial Summary (1)'!H46/'Financial Summary (1)'!H$24</f>
        <v>0.09525841243615187</v>
      </c>
      <c r="I21" s="100">
        <f>'Financial Summary (1)'!I46/'Financial Summary (1)'!I$24</f>
        <v>0.09446969869688361</v>
      </c>
      <c r="J21" s="100">
        <f>'Financial Summary (1)'!J46/'Financial Summary (1)'!J$24</f>
        <v>0.09368624510914883</v>
      </c>
      <c r="K21" s="100">
        <f>'Financial Summary (1)'!K46/'Financial Summary (1)'!K$24</f>
        <v>0.09290803762280006</v>
      </c>
      <c r="L21" s="100">
        <f>'Financial Summary (1)'!L46/'Financial Summary (1)'!L$24</f>
        <v>0.09213506185929621</v>
      </c>
      <c r="M21" s="100">
        <f>'Financial Summary (1)'!M46/'Financial Summary (1)'!M$24</f>
        <v>0.09136730311827525</v>
      </c>
      <c r="N21" s="100">
        <f>'Financial Summary (1)'!N46/'Financial Summary (1)'!N$24</f>
        <v>0.09060474638409934</v>
      </c>
    </row>
    <row r="22" spans="2:14" ht="15" customHeight="1" hidden="1">
      <c r="B22" s="41"/>
      <c r="C22" s="45" t="s">
        <v>72</v>
      </c>
      <c r="D22" s="45"/>
      <c r="E22" s="100">
        <f>SUM('Financial Summary (1)'!E51:E52)/'Financial Summary (1)'!E$24</f>
        <v>0.009179955636740622</v>
      </c>
      <c r="F22" s="100">
        <f>SUM('Financial Summary (1)'!F51:F52)/'Financial Summary (1)'!F$24</f>
        <v>0.009110914446417519</v>
      </c>
      <c r="G22" s="100">
        <f>SUM('Financial Summary (1)'!G51:G52)/'Financial Summary (1)'!G$24</f>
        <v>0.009042328075830677</v>
      </c>
      <c r="H22" s="100">
        <f>SUM('Financial Summary (1)'!H51:H52)/'Financial Summary (1)'!H$24</f>
        <v>0.00897419540727085</v>
      </c>
      <c r="I22" s="100">
        <f>SUM('Financial Summary (1)'!I51:I52)/'Financial Summary (1)'!I$24</f>
        <v>0.008906515293144455</v>
      </c>
      <c r="J22" s="100">
        <f>SUM('Financial Summary (1)'!J51:J52)/'Financial Summary (1)'!J$24</f>
        <v>0.008839286556543749</v>
      </c>
      <c r="K22" s="100">
        <f>SUM('Financial Summary (1)'!K51:K52)/'Financial Summary (1)'!K$24</f>
        <v>0.0087725079918151</v>
      </c>
      <c r="L22" s="100">
        <f>SUM('Financial Summary (1)'!L51:L52)/'Financial Summary (1)'!L$24</f>
        <v>0.008706178365125172</v>
      </c>
      <c r="M22" s="100">
        <f>SUM('Financial Summary (1)'!M51:M52)/'Financial Summary (1)'!M$24</f>
        <v>0.008640296415024945</v>
      </c>
      <c r="N22" s="100">
        <f>SUM('Financial Summary (1)'!N51:N52)/'Financial Summary (1)'!N$24</f>
        <v>0.008574860853011332</v>
      </c>
    </row>
    <row r="23" spans="2:14" ht="15" customHeight="1" hidden="1" thickBot="1">
      <c r="B23" s="56"/>
      <c r="C23" s="57"/>
      <c r="D23" s="57"/>
      <c r="E23" s="57"/>
      <c r="F23" s="57"/>
      <c r="G23" s="57"/>
      <c r="H23" s="57"/>
      <c r="I23" s="57"/>
      <c r="J23" s="57"/>
      <c r="K23" s="57"/>
      <c r="L23" s="57"/>
      <c r="M23" s="57"/>
      <c r="N23" s="58"/>
    </row>
    <row r="24" spans="2:14" ht="15" customHeight="1" hidden="1" thickBot="1">
      <c r="B24" s="35"/>
      <c r="C24" s="35"/>
      <c r="D24" s="35"/>
      <c r="E24" s="35"/>
      <c r="F24" s="35"/>
      <c r="G24" s="35"/>
      <c r="H24" s="35"/>
      <c r="I24" s="35"/>
      <c r="J24" s="35"/>
      <c r="K24" s="35"/>
      <c r="L24" s="35"/>
      <c r="M24" s="35"/>
      <c r="N24" s="35"/>
    </row>
    <row r="25" spans="2:14" ht="15" customHeight="1" hidden="1">
      <c r="B25" s="36"/>
      <c r="C25" s="37"/>
      <c r="D25" s="37"/>
      <c r="E25" s="37"/>
      <c r="F25" s="37"/>
      <c r="G25" s="37"/>
      <c r="H25" s="37"/>
      <c r="I25" s="37"/>
      <c r="J25" s="37"/>
      <c r="K25" s="37"/>
      <c r="L25" s="37"/>
      <c r="M25" s="37"/>
      <c r="N25" s="51"/>
    </row>
    <row r="26" spans="2:14" ht="15" customHeight="1" hidden="1">
      <c r="B26" s="41"/>
      <c r="C26" s="45"/>
      <c r="D26" s="45"/>
      <c r="E26" s="352" t="s">
        <v>70</v>
      </c>
      <c r="F26" s="353"/>
      <c r="G26" s="353"/>
      <c r="H26" s="353"/>
      <c r="I26" s="353"/>
      <c r="J26" s="353"/>
      <c r="K26" s="353"/>
      <c r="L26" s="353"/>
      <c r="M26" s="353"/>
      <c r="N26" s="354"/>
    </row>
    <row r="27" spans="2:14" ht="15" customHeight="1" hidden="1">
      <c r="B27" s="41"/>
      <c r="C27" s="101" t="s">
        <v>74</v>
      </c>
      <c r="D27" s="101"/>
      <c r="E27" s="97">
        <v>1</v>
      </c>
      <c r="F27" s="97">
        <v>2</v>
      </c>
      <c r="G27" s="97">
        <v>3</v>
      </c>
      <c r="H27" s="97">
        <v>4</v>
      </c>
      <c r="I27" s="97">
        <v>5</v>
      </c>
      <c r="J27" s="97">
        <v>6</v>
      </c>
      <c r="K27" s="97">
        <v>7</v>
      </c>
      <c r="L27" s="97">
        <v>8</v>
      </c>
      <c r="M27" s="97">
        <v>9</v>
      </c>
      <c r="N27" s="97">
        <v>10</v>
      </c>
    </row>
    <row r="28" spans="2:14" ht="15" customHeight="1" hidden="1">
      <c r="B28" s="41"/>
      <c r="C28" s="101"/>
      <c r="D28" s="101"/>
      <c r="E28" s="99"/>
      <c r="F28" s="99"/>
      <c r="G28" s="99"/>
      <c r="H28" s="99"/>
      <c r="I28" s="99"/>
      <c r="J28" s="99"/>
      <c r="K28" s="99"/>
      <c r="L28" s="99"/>
      <c r="M28" s="99"/>
      <c r="N28" s="46"/>
    </row>
    <row r="29" spans="2:14" ht="15" customHeight="1" hidden="1">
      <c r="B29" s="41"/>
      <c r="C29" s="45" t="s">
        <v>79</v>
      </c>
      <c r="D29" s="45"/>
      <c r="E29" s="83">
        <f>'Financial Summary (1)'!E24/'Financial Summary (1)'!E55</f>
        <v>1.048198429402385</v>
      </c>
      <c r="F29" s="83">
        <f>'Financial Summary (1)'!F24/'Financial Summary (1)'!F55</f>
        <v>1.0567147273575708</v>
      </c>
      <c r="G29" s="83">
        <f>'Financial Summary (1)'!G24/'Financial Summary (1)'!G55</f>
        <v>1.0653130580604993</v>
      </c>
      <c r="H29" s="83">
        <f>'Financial Summary (1)'!H24/'Financial Summary (1)'!H55</f>
        <v>1.0739941806724653</v>
      </c>
      <c r="I29" s="83">
        <f>'Financial Summary (1)'!I24/'Financial Summary (1)'!I55</f>
        <v>1.0827588607686807</v>
      </c>
      <c r="J29" s="83">
        <f>'Financial Summary (1)'!J24/'Financial Summary (1)'!J55</f>
        <v>1.0916078703802592</v>
      </c>
      <c r="K29" s="83">
        <f>'Financial Summary (1)'!K24/'Financial Summary (1)'!K55</f>
        <v>1.1005419880362153</v>
      </c>
      <c r="L29" s="83">
        <f>'Financial Summary (1)'!L24/'Financial Summary (1)'!L55</f>
        <v>1.10956199880548</v>
      </c>
      <c r="M29" s="83">
        <f>'Financial Summary (1)'!M24/'Financial Summary (1)'!M55</f>
        <v>1.1186686943389155</v>
      </c>
      <c r="N29" s="83">
        <f>'Financial Summary (1)'!N24/'Financial Summary (1)'!N55</f>
        <v>1.1278628729113336</v>
      </c>
    </row>
    <row r="30" spans="2:14" ht="15" customHeight="1" hidden="1">
      <c r="B30" s="41"/>
      <c r="C30" s="45" t="s">
        <v>75</v>
      </c>
      <c r="D30" s="45"/>
      <c r="E30" s="84">
        <f>'Internal Use - SUMMARY'!D36</f>
        <v>6600</v>
      </c>
      <c r="F30" s="84">
        <f>'Internal Use - SUMMARY'!E36</f>
        <v>6600</v>
      </c>
      <c r="G30" s="84">
        <f>'Internal Use - SUMMARY'!F36</f>
        <v>6600</v>
      </c>
      <c r="H30" s="84">
        <f>'Internal Use - SUMMARY'!G36</f>
        <v>6600</v>
      </c>
      <c r="I30" s="84">
        <f>'Internal Use - SUMMARY'!H36</f>
        <v>6600</v>
      </c>
      <c r="J30" s="84">
        <f>'Internal Use - SUMMARY'!I36</f>
        <v>6600</v>
      </c>
      <c r="K30" s="84">
        <f>'Internal Use - SUMMARY'!J36</f>
        <v>6600</v>
      </c>
      <c r="L30" s="84">
        <f>'Internal Use - SUMMARY'!K36</f>
        <v>6600</v>
      </c>
      <c r="M30" s="84">
        <f>'Internal Use - SUMMARY'!L36</f>
        <v>6600</v>
      </c>
      <c r="N30" s="84">
        <f>'Internal Use - SUMMARY'!M36</f>
        <v>6600</v>
      </c>
    </row>
    <row r="31" spans="2:14" ht="15" customHeight="1" hidden="1">
      <c r="B31" s="41"/>
      <c r="C31" s="45" t="s">
        <v>25</v>
      </c>
      <c r="D31" s="45"/>
      <c r="E31" s="85">
        <f>'Internal Use - SUMMARY'!D12/'Internal Use - SUMMARY'!D36</f>
        <v>4.654545454545454</v>
      </c>
      <c r="F31" s="85">
        <f>'Internal Use - SUMMARY'!E12/'Internal Use - SUMMARY'!E36</f>
        <v>4.693212121212121</v>
      </c>
      <c r="G31" s="85">
        <f>'Internal Use - SUMMARY'!F12/'Internal Use - SUMMARY'!F36</f>
        <v>4.7322654545454546</v>
      </c>
      <c r="H31" s="85">
        <f>'Internal Use - SUMMARY'!G12/'Internal Use - SUMMARY'!G36</f>
        <v>4.771709321212122</v>
      </c>
      <c r="I31" s="85">
        <f>'Internal Use - SUMMARY'!H12/'Internal Use - SUMMARY'!H36</f>
        <v>4.811547626545455</v>
      </c>
      <c r="J31" s="85">
        <f>'Internal Use - SUMMARY'!I12/'Internal Use - SUMMARY'!I36</f>
        <v>4.851784314932122</v>
      </c>
      <c r="K31" s="85">
        <f>'Internal Use - SUMMARY'!J12/'Internal Use - SUMMARY'!J36</f>
        <v>4.892423370202655</v>
      </c>
      <c r="L31" s="85">
        <f>'Internal Use - SUMMARY'!K12/'Internal Use - SUMMARY'!K36</f>
        <v>4.9334688160258935</v>
      </c>
      <c r="M31" s="85">
        <f>'Internal Use - SUMMARY'!L12/'Internal Use - SUMMARY'!L36</f>
        <v>4.974924716307365</v>
      </c>
      <c r="N31" s="85">
        <f>'Internal Use - SUMMARY'!M12/'Internal Use - SUMMARY'!M36</f>
        <v>5.01679517559165</v>
      </c>
    </row>
    <row r="32" spans="2:14" ht="15" customHeight="1" hidden="1" thickBot="1">
      <c r="B32" s="56"/>
      <c r="C32" s="57"/>
      <c r="D32" s="57"/>
      <c r="E32" s="57"/>
      <c r="F32" s="57"/>
      <c r="G32" s="57"/>
      <c r="H32" s="57"/>
      <c r="I32" s="57"/>
      <c r="J32" s="57"/>
      <c r="K32" s="57"/>
      <c r="L32" s="57"/>
      <c r="M32" s="57"/>
      <c r="N32" s="58"/>
    </row>
    <row r="33" ht="15" customHeight="1"/>
    <row r="34" ht="15" customHeight="1">
      <c r="B34" s="102" t="s">
        <v>80</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c r="A52" s="34"/>
    </row>
    <row r="53" ht="15" customHeight="1">
      <c r="A53" s="92"/>
    </row>
    <row r="54" ht="15" customHeight="1">
      <c r="A54" s="92"/>
    </row>
    <row r="55" ht="15" customHeight="1">
      <c r="A55" s="92"/>
    </row>
    <row r="56" ht="15" customHeight="1">
      <c r="A56" s="92"/>
    </row>
    <row r="57" spans="1:2" ht="15" customHeight="1">
      <c r="A57" s="92"/>
      <c r="B57" s="103"/>
    </row>
    <row r="58" ht="15" customHeight="1">
      <c r="A58" s="92"/>
    </row>
    <row r="59" ht="15" customHeight="1">
      <c r="A59" s="92"/>
    </row>
    <row r="60" ht="15" customHeight="1">
      <c r="A60" s="92"/>
    </row>
    <row r="61" ht="15" customHeight="1" thickBot="1">
      <c r="A61" s="92"/>
    </row>
    <row r="62" spans="1:10" ht="15" customHeight="1">
      <c r="A62" s="92"/>
      <c r="B62" s="86"/>
      <c r="C62" s="87"/>
      <c r="E62" s="86"/>
      <c r="F62" s="88"/>
      <c r="G62" s="88"/>
      <c r="H62" s="88"/>
      <c r="I62" s="88"/>
      <c r="J62" s="87"/>
    </row>
    <row r="63" spans="1:10" ht="15" customHeight="1">
      <c r="A63" s="92"/>
      <c r="B63" s="89"/>
      <c r="C63" s="90"/>
      <c r="E63" s="89"/>
      <c r="F63" s="91"/>
      <c r="G63" s="91"/>
      <c r="H63" s="91"/>
      <c r="I63" s="91"/>
      <c r="J63" s="90"/>
    </row>
    <row r="64" spans="1:10" ht="15" customHeight="1">
      <c r="A64" s="92"/>
      <c r="B64" s="89"/>
      <c r="C64" s="90"/>
      <c r="E64" s="89"/>
      <c r="F64" s="91"/>
      <c r="G64" s="91"/>
      <c r="H64" s="91"/>
      <c r="I64" s="91"/>
      <c r="J64" s="90"/>
    </row>
    <row r="65" spans="1:10" ht="15" customHeight="1">
      <c r="A65" s="92"/>
      <c r="B65" s="89"/>
      <c r="C65" s="90"/>
      <c r="E65" s="89"/>
      <c r="F65" s="91"/>
      <c r="G65" s="91"/>
      <c r="H65" s="91"/>
      <c r="I65" s="91"/>
      <c r="J65" s="90"/>
    </row>
    <row r="66" spans="1:10" ht="15" customHeight="1">
      <c r="A66" s="92"/>
      <c r="B66" s="89"/>
      <c r="C66" s="90"/>
      <c r="E66" s="89"/>
      <c r="F66" s="91"/>
      <c r="G66" s="91"/>
      <c r="H66" s="91"/>
      <c r="I66" s="91"/>
      <c r="J66" s="90"/>
    </row>
    <row r="67" spans="1:10" ht="15" customHeight="1">
      <c r="A67" s="92"/>
      <c r="B67" s="89"/>
      <c r="C67" s="90"/>
      <c r="E67" s="89"/>
      <c r="F67" s="91"/>
      <c r="G67" s="91"/>
      <c r="H67" s="91"/>
      <c r="I67" s="91"/>
      <c r="J67" s="90"/>
    </row>
    <row r="68" spans="1:10" ht="15" customHeight="1">
      <c r="A68" s="92"/>
      <c r="B68" s="89"/>
      <c r="C68" s="90"/>
      <c r="E68" s="89"/>
      <c r="F68" s="91"/>
      <c r="G68" s="91"/>
      <c r="H68" s="91"/>
      <c r="I68" s="91"/>
      <c r="J68" s="90"/>
    </row>
    <row r="69" spans="1:10" ht="15" customHeight="1">
      <c r="A69" s="92"/>
      <c r="B69" s="89"/>
      <c r="C69" s="90"/>
      <c r="E69" s="89"/>
      <c r="F69" s="91"/>
      <c r="G69" s="91"/>
      <c r="H69" s="91"/>
      <c r="I69" s="91"/>
      <c r="J69" s="90"/>
    </row>
    <row r="70" spans="1:10" ht="15" customHeight="1">
      <c r="A70" s="92"/>
      <c r="B70" s="89"/>
      <c r="C70" s="90"/>
      <c r="E70" s="89"/>
      <c r="F70" s="91"/>
      <c r="G70" s="91"/>
      <c r="H70" s="91"/>
      <c r="I70" s="91"/>
      <c r="J70" s="90"/>
    </row>
    <row r="71" spans="1:10" ht="15" customHeight="1">
      <c r="A71" s="92"/>
      <c r="B71" s="89"/>
      <c r="C71" s="90"/>
      <c r="E71" s="89"/>
      <c r="F71" s="91"/>
      <c r="G71" s="91"/>
      <c r="H71" s="91"/>
      <c r="I71" s="91"/>
      <c r="J71" s="90"/>
    </row>
    <row r="72" spans="1:10" ht="15" customHeight="1">
      <c r="A72" s="34"/>
      <c r="B72" s="89"/>
      <c r="C72" s="90"/>
      <c r="E72" s="89"/>
      <c r="F72" s="91"/>
      <c r="G72" s="91"/>
      <c r="H72" s="91"/>
      <c r="I72" s="91"/>
      <c r="J72" s="90"/>
    </row>
    <row r="73" spans="1:10" ht="15" customHeight="1">
      <c r="A73" s="34"/>
      <c r="B73" s="89"/>
      <c r="C73" s="90"/>
      <c r="E73" s="89"/>
      <c r="F73" s="91"/>
      <c r="G73" s="91"/>
      <c r="H73" s="91"/>
      <c r="I73" s="91"/>
      <c r="J73" s="90"/>
    </row>
    <row r="74" spans="2:10" ht="15" customHeight="1">
      <c r="B74" s="89"/>
      <c r="C74" s="90"/>
      <c r="E74" s="89"/>
      <c r="F74" s="91"/>
      <c r="G74" s="91"/>
      <c r="H74" s="91"/>
      <c r="I74" s="91"/>
      <c r="J74" s="90"/>
    </row>
    <row r="75" spans="2:10" ht="15" customHeight="1">
      <c r="B75" s="89"/>
      <c r="C75" s="90"/>
      <c r="E75" s="89"/>
      <c r="F75" s="91"/>
      <c r="G75" s="91"/>
      <c r="H75" s="91"/>
      <c r="I75" s="91"/>
      <c r="J75" s="90"/>
    </row>
    <row r="76" spans="2:10" ht="15" customHeight="1">
      <c r="B76" s="89"/>
      <c r="C76" s="90"/>
      <c r="E76" s="89"/>
      <c r="F76" s="91"/>
      <c r="G76" s="91"/>
      <c r="H76" s="91"/>
      <c r="I76" s="91"/>
      <c r="J76" s="90"/>
    </row>
    <row r="77" spans="2:10" ht="15" customHeight="1">
      <c r="B77" s="89"/>
      <c r="C77" s="90"/>
      <c r="E77" s="89"/>
      <c r="F77" s="91"/>
      <c r="G77" s="91"/>
      <c r="H77" s="91"/>
      <c r="I77" s="91"/>
      <c r="J77" s="90"/>
    </row>
    <row r="78" spans="2:10" ht="15" customHeight="1">
      <c r="B78" s="89"/>
      <c r="C78" s="90"/>
      <c r="E78" s="89"/>
      <c r="F78" s="91"/>
      <c r="G78" s="91"/>
      <c r="H78" s="91"/>
      <c r="I78" s="91"/>
      <c r="J78" s="90"/>
    </row>
    <row r="79" spans="2:10" ht="15" customHeight="1">
      <c r="B79" s="89"/>
      <c r="C79" s="90"/>
      <c r="E79" s="89"/>
      <c r="F79" s="91"/>
      <c r="G79" s="91"/>
      <c r="H79" s="91"/>
      <c r="I79" s="91"/>
      <c r="J79" s="90"/>
    </row>
    <row r="80" spans="2:10" ht="15" customHeight="1">
      <c r="B80" s="89"/>
      <c r="C80" s="90"/>
      <c r="E80" s="89"/>
      <c r="F80" s="91"/>
      <c r="G80" s="91"/>
      <c r="H80" s="91"/>
      <c r="I80" s="91"/>
      <c r="J80" s="90"/>
    </row>
    <row r="81" spans="2:10" ht="15" customHeight="1">
      <c r="B81" s="89"/>
      <c r="C81" s="90"/>
      <c r="E81" s="89"/>
      <c r="F81" s="91"/>
      <c r="G81" s="91"/>
      <c r="H81" s="91"/>
      <c r="I81" s="91"/>
      <c r="J81" s="90"/>
    </row>
    <row r="82" spans="2:10" ht="15" customHeight="1" thickBot="1">
      <c r="B82" s="93"/>
      <c r="C82" s="94"/>
      <c r="E82" s="93"/>
      <c r="F82" s="95"/>
      <c r="G82" s="95"/>
      <c r="H82" s="95"/>
      <c r="I82" s="95"/>
      <c r="J82" s="94"/>
    </row>
    <row r="83" ht="15" customHeight="1"/>
    <row r="84" ht="15" customHeight="1"/>
    <row r="85" ht="15" customHeight="1"/>
  </sheetData>
  <sheetProtection/>
  <mergeCells count="5">
    <mergeCell ref="C15:C16"/>
    <mergeCell ref="E15:N15"/>
    <mergeCell ref="E26:N26"/>
    <mergeCell ref="A11:N11"/>
    <mergeCell ref="A12:N12"/>
  </mergeCells>
  <printOptions/>
  <pageMargins left="0.1968503937007874" right="0.1968503937007874" top="0.1968503937007874" bottom="0.1968503937007874" header="0.5118110236220472" footer="0.5118110236220472"/>
  <pageSetup horizontalDpi="600" verticalDpi="600" orientation="portrait" paperSize="9" scale="56"/>
  <colBreaks count="1" manualBreakCount="1">
    <brk id="11" max="49" man="1"/>
  </colBreaks>
  <drawing r:id="rId1"/>
</worksheet>
</file>

<file path=xl/worksheets/sheet4.xml><?xml version="1.0" encoding="utf-8"?>
<worksheet xmlns="http://schemas.openxmlformats.org/spreadsheetml/2006/main" xmlns:r="http://schemas.openxmlformats.org/officeDocument/2006/relationships">
  <sheetPr codeName="Sheet5">
    <tabColor rgb="FF002060"/>
  </sheetPr>
  <dimension ref="A1:S23"/>
  <sheetViews>
    <sheetView showGridLines="0" zoomScale="75" zoomScaleNormal="75" zoomScaleSheetLayoutView="75" zoomScalePageLayoutView="0" workbookViewId="0" topLeftCell="A5">
      <selection activeCell="F25" sqref="F25"/>
    </sheetView>
  </sheetViews>
  <sheetFormatPr defaultColWidth="11.421875" defaultRowHeight="12.75"/>
  <cols>
    <col min="1" max="1" width="3.7109375" style="34" customWidth="1"/>
    <col min="2" max="2" width="4.7109375" style="34" customWidth="1"/>
    <col min="3" max="3" width="53.140625" style="34" customWidth="1"/>
    <col min="4" max="4" width="16.28125" style="34" customWidth="1"/>
    <col min="5" max="5" width="16.00390625" style="34" customWidth="1"/>
    <col min="6" max="6" width="21.140625" style="34" customWidth="1"/>
    <col min="7" max="7" width="16.00390625" style="34" customWidth="1"/>
    <col min="8" max="16" width="16.00390625" style="34" hidden="1" customWidth="1"/>
    <col min="17" max="17" width="16.00390625" style="34" customWidth="1"/>
    <col min="18" max="18" width="21.421875" style="34" customWidth="1"/>
    <col min="19" max="19" width="16.00390625" style="34" customWidth="1"/>
    <col min="20" max="20" width="3.8515625" style="34" customWidth="1"/>
    <col min="21" max="16384" width="11.421875" style="34" customWidth="1"/>
  </cols>
  <sheetData>
    <row r="1" spans="1:16" ht="12.75">
      <c r="A1" s="357" t="str">
        <f>'Internal Use - SUMMARY'!A1</f>
        <v>England Hockey</v>
      </c>
      <c r="B1" s="358"/>
      <c r="C1" s="358"/>
      <c r="D1" s="358"/>
      <c r="E1" s="358"/>
      <c r="F1" s="358"/>
      <c r="G1" s="358"/>
      <c r="H1" s="358"/>
      <c r="I1" s="358"/>
      <c r="J1" s="358"/>
      <c r="K1" s="358"/>
      <c r="L1" s="358"/>
      <c r="M1" s="358"/>
      <c r="N1" s="358"/>
      <c r="O1" s="358"/>
      <c r="P1" s="358"/>
    </row>
    <row r="2" spans="1:16" ht="12.75">
      <c r="A2" s="357" t="str">
        <f>'Internal Use - SUMMARY'!A2</f>
        <v>Non-Asset Owning Club</v>
      </c>
      <c r="B2" s="358"/>
      <c r="C2" s="358"/>
      <c r="D2" s="358"/>
      <c r="E2" s="358"/>
      <c r="F2" s="358"/>
      <c r="G2" s="358"/>
      <c r="H2" s="358"/>
      <c r="I2" s="358"/>
      <c r="J2" s="358"/>
      <c r="K2" s="358"/>
      <c r="L2" s="358"/>
      <c r="M2" s="358"/>
      <c r="N2" s="358"/>
      <c r="O2" s="358"/>
      <c r="P2" s="358"/>
    </row>
    <row r="3" ht="12.75"/>
    <row r="4" ht="12.75">
      <c r="A4" s="104" t="s">
        <v>56</v>
      </c>
    </row>
    <row r="5" ht="12.75"/>
    <row r="6" ht="12.75"/>
    <row r="7" ht="12.75"/>
    <row r="8" ht="12.75"/>
    <row r="9" ht="12.75">
      <c r="B9" s="155"/>
    </row>
    <row r="10" spans="3:19" ht="12.75">
      <c r="C10" s="359" t="s">
        <v>12</v>
      </c>
      <c r="D10" s="333" t="s">
        <v>18</v>
      </c>
      <c r="E10" s="356" t="s">
        <v>13</v>
      </c>
      <c r="F10" s="356"/>
      <c r="G10" s="356"/>
      <c r="H10" s="356" t="s">
        <v>19</v>
      </c>
      <c r="I10" s="356"/>
      <c r="J10" s="356"/>
      <c r="K10" s="356" t="s">
        <v>20</v>
      </c>
      <c r="L10" s="356"/>
      <c r="M10" s="356"/>
      <c r="N10" s="356" t="s">
        <v>21</v>
      </c>
      <c r="O10" s="356"/>
      <c r="P10" s="356"/>
      <c r="Q10" s="356" t="s">
        <v>14</v>
      </c>
      <c r="R10" s="356"/>
      <c r="S10" s="356"/>
    </row>
    <row r="11" spans="3:19" ht="60.75" customHeight="1">
      <c r="C11" s="360"/>
      <c r="D11" s="334"/>
      <c r="E11" s="278" t="s">
        <v>55</v>
      </c>
      <c r="F11" s="278" t="s">
        <v>16</v>
      </c>
      <c r="G11" s="278" t="s">
        <v>17</v>
      </c>
      <c r="H11" s="278" t="s">
        <v>55</v>
      </c>
      <c r="I11" s="278" t="s">
        <v>16</v>
      </c>
      <c r="J11" s="278" t="s">
        <v>17</v>
      </c>
      <c r="K11" s="278" t="s">
        <v>55</v>
      </c>
      <c r="L11" s="278" t="s">
        <v>16</v>
      </c>
      <c r="M11" s="278" t="s">
        <v>17</v>
      </c>
      <c r="N11" s="278" t="s">
        <v>55</v>
      </c>
      <c r="O11" s="278" t="s">
        <v>16</v>
      </c>
      <c r="P11" s="278" t="s">
        <v>17</v>
      </c>
      <c r="Q11" s="278" t="s">
        <v>55</v>
      </c>
      <c r="R11" s="278" t="s">
        <v>16</v>
      </c>
      <c r="S11" s="278" t="s">
        <v>17</v>
      </c>
    </row>
    <row r="12" spans="3:19" ht="19.5" customHeight="1">
      <c r="C12" s="156" t="s">
        <v>15</v>
      </c>
      <c r="D12" s="157"/>
      <c r="E12" s="154">
        <f>'Internal Use - SUMMARY'!D12</f>
        <v>30720</v>
      </c>
      <c r="F12" s="154">
        <f>'Internal Use - SUMMARY'!D24</f>
        <v>29307.428000550008</v>
      </c>
      <c r="G12" s="154">
        <f aca="true" t="shared" si="0" ref="G12:G20">E12-F12</f>
        <v>1412.5719994499923</v>
      </c>
      <c r="H12" s="154">
        <f>'Internal Use - SUMMARY'!E12</f>
        <v>30975.2</v>
      </c>
      <c r="I12" s="154">
        <f>'Internal Use - SUMMARY'!E24</f>
        <v>29312.736160550005</v>
      </c>
      <c r="J12" s="154">
        <f aca="true" t="shared" si="1" ref="J12:J20">H12-I12</f>
        <v>1662.4638394499962</v>
      </c>
      <c r="K12" s="154">
        <f>'Internal Use - SUMMARY'!F12</f>
        <v>31232.951999999997</v>
      </c>
      <c r="L12" s="154">
        <f>'Internal Use - SUMMARY'!F24</f>
        <v>29318.097402150004</v>
      </c>
      <c r="M12" s="154">
        <f aca="true" t="shared" si="2" ref="M12:M20">K12-L12</f>
        <v>1914.8545978499933</v>
      </c>
      <c r="N12" s="154">
        <f>'Internal Use - SUMMARY'!G12</f>
        <v>31493.281520000004</v>
      </c>
      <c r="O12" s="154">
        <f>'Internal Use - SUMMARY'!G24</f>
        <v>29323.512256166006</v>
      </c>
      <c r="P12" s="154">
        <f aca="true" t="shared" si="3" ref="P12:P20">N12-O12</f>
        <v>2169.7692638339977</v>
      </c>
      <c r="Q12" s="154">
        <f>'Internal Use - SUMMARY'!H12</f>
        <v>31756.2143352</v>
      </c>
      <c r="R12" s="154">
        <f>'Internal Use - SUMMARY'!H24</f>
        <v>29328.981258722164</v>
      </c>
      <c r="S12" s="154">
        <f>Q12-R12</f>
        <v>2427.2330764778344</v>
      </c>
    </row>
    <row r="13" spans="3:19" ht="19.5" customHeight="1">
      <c r="C13" s="156" t="s">
        <v>64</v>
      </c>
      <c r="D13" s="158">
        <v>10</v>
      </c>
      <c r="E13" s="154">
        <f>E12*(1+$D$13/100)</f>
        <v>33792</v>
      </c>
      <c r="F13" s="154">
        <f>F12</f>
        <v>29307.428000550008</v>
      </c>
      <c r="G13" s="154">
        <f t="shared" si="0"/>
        <v>4484.571999449992</v>
      </c>
      <c r="H13" s="154">
        <f>H12*(1+$D$13/100)</f>
        <v>34072.72</v>
      </c>
      <c r="I13" s="154">
        <f>I12</f>
        <v>29312.736160550005</v>
      </c>
      <c r="J13" s="154">
        <f t="shared" si="1"/>
        <v>4759.983839449997</v>
      </c>
      <c r="K13" s="154">
        <f>K12*(1+$D$13/100)</f>
        <v>34356.2472</v>
      </c>
      <c r="L13" s="154">
        <f>L12</f>
        <v>29318.097402150004</v>
      </c>
      <c r="M13" s="154">
        <f t="shared" si="2"/>
        <v>5038.149797849994</v>
      </c>
      <c r="N13" s="154">
        <f>N12*(1+$D$13/100)</f>
        <v>34642.609672000006</v>
      </c>
      <c r="O13" s="154">
        <f>O12</f>
        <v>29323.512256166006</v>
      </c>
      <c r="P13" s="154">
        <f t="shared" si="3"/>
        <v>5319.097415834</v>
      </c>
      <c r="Q13" s="154">
        <f>Q12*(1+$D$13/100)</f>
        <v>34931.835768720004</v>
      </c>
      <c r="R13" s="154">
        <f>R12</f>
        <v>29328.981258722164</v>
      </c>
      <c r="S13" s="154">
        <f aca="true" t="shared" si="4" ref="S13:S18">Q13-R13</f>
        <v>5602.85450999784</v>
      </c>
    </row>
    <row r="14" spans="3:19" ht="19.5" customHeight="1">
      <c r="C14" s="156" t="s">
        <v>65</v>
      </c>
      <c r="D14" s="158">
        <v>10</v>
      </c>
      <c r="E14" s="154">
        <f>E12*(1-$D$14/100)</f>
        <v>27648</v>
      </c>
      <c r="F14" s="154">
        <f>F12</f>
        <v>29307.428000550008</v>
      </c>
      <c r="G14" s="154">
        <f t="shared" si="0"/>
        <v>-1659.4280005500077</v>
      </c>
      <c r="H14" s="154">
        <f>H12*(1-$D$14/100)</f>
        <v>27877.68</v>
      </c>
      <c r="I14" s="154">
        <f>I12</f>
        <v>29312.736160550005</v>
      </c>
      <c r="J14" s="154">
        <f t="shared" si="1"/>
        <v>-1435.0561605500043</v>
      </c>
      <c r="K14" s="154">
        <f>K12*(1-$D$14/100)</f>
        <v>28109.656799999997</v>
      </c>
      <c r="L14" s="154">
        <f>L12</f>
        <v>29318.097402150004</v>
      </c>
      <c r="M14" s="154">
        <f t="shared" si="2"/>
        <v>-1208.4406021500072</v>
      </c>
      <c r="N14" s="154">
        <f>N12*(1-$D$14/100)</f>
        <v>28343.953368000006</v>
      </c>
      <c r="O14" s="154">
        <f>O12</f>
        <v>29323.512256166006</v>
      </c>
      <c r="P14" s="154">
        <f t="shared" si="3"/>
        <v>-979.5588881660005</v>
      </c>
      <c r="Q14" s="154">
        <f>Q12*(1-$D$14/100)</f>
        <v>28580.59290168</v>
      </c>
      <c r="R14" s="154">
        <f>R12</f>
        <v>29328.981258722164</v>
      </c>
      <c r="S14" s="154">
        <f t="shared" si="4"/>
        <v>-748.388357042164</v>
      </c>
    </row>
    <row r="15" spans="3:19" ht="19.5" customHeight="1">
      <c r="C15" s="156" t="s">
        <v>66</v>
      </c>
      <c r="D15" s="158">
        <v>10</v>
      </c>
      <c r="E15" s="154">
        <f>E12</f>
        <v>30720</v>
      </c>
      <c r="F15" s="154">
        <f>F12*(1+$D$15/100)</f>
        <v>32238.17080060501</v>
      </c>
      <c r="G15" s="154">
        <f t="shared" si="0"/>
        <v>-1518.1708006050103</v>
      </c>
      <c r="H15" s="154">
        <f>H12</f>
        <v>30975.2</v>
      </c>
      <c r="I15" s="154">
        <f>I12*(1+$D$15/100)</f>
        <v>32244.00977660501</v>
      </c>
      <c r="J15" s="154">
        <f t="shared" si="1"/>
        <v>-1268.8097766050087</v>
      </c>
      <c r="K15" s="154">
        <f>K12</f>
        <v>31232.951999999997</v>
      </c>
      <c r="L15" s="154">
        <f>L12*(1+$D$15/100)</f>
        <v>32249.907142365006</v>
      </c>
      <c r="M15" s="154">
        <f t="shared" si="2"/>
        <v>-1016.9551423650082</v>
      </c>
      <c r="N15" s="154">
        <f>N12</f>
        <v>31493.281520000004</v>
      </c>
      <c r="O15" s="154">
        <f>O12*(1+$D$15/100)</f>
        <v>32255.86348178261</v>
      </c>
      <c r="P15" s="154">
        <f t="shared" si="3"/>
        <v>-762.5819617826055</v>
      </c>
      <c r="Q15" s="154">
        <f>Q12</f>
        <v>31756.2143352</v>
      </c>
      <c r="R15" s="154">
        <f>R12*(1+$D$15/100)</f>
        <v>32261.879384594384</v>
      </c>
      <c r="S15" s="154">
        <f t="shared" si="4"/>
        <v>-505.6650493943853</v>
      </c>
    </row>
    <row r="16" spans="3:19" ht="19.5" customHeight="1">
      <c r="C16" s="156" t="s">
        <v>67</v>
      </c>
      <c r="D16" s="158">
        <v>10</v>
      </c>
      <c r="E16" s="154">
        <f>E12</f>
        <v>30720</v>
      </c>
      <c r="F16" s="154">
        <f>F12*(1-$D$16/100)</f>
        <v>26376.68520049501</v>
      </c>
      <c r="G16" s="154">
        <f t="shared" si="0"/>
        <v>4343.314799504991</v>
      </c>
      <c r="H16" s="154">
        <f>H12</f>
        <v>30975.2</v>
      </c>
      <c r="I16" s="154">
        <f>I12*(1-$D$16/100)</f>
        <v>26381.462544495003</v>
      </c>
      <c r="J16" s="154">
        <f t="shared" si="1"/>
        <v>4593.737455504997</v>
      </c>
      <c r="K16" s="154">
        <f>K12</f>
        <v>31232.951999999997</v>
      </c>
      <c r="L16" s="154">
        <f>L12*(1-$D$16/100)</f>
        <v>26386.287661935003</v>
      </c>
      <c r="M16" s="154">
        <f t="shared" si="2"/>
        <v>4846.664338064995</v>
      </c>
      <c r="N16" s="154">
        <f>N12</f>
        <v>31493.281520000004</v>
      </c>
      <c r="O16" s="154">
        <f>O12*(1-$D$16/100)</f>
        <v>26391.161030549407</v>
      </c>
      <c r="P16" s="154">
        <f t="shared" si="3"/>
        <v>5102.120489450597</v>
      </c>
      <c r="Q16" s="154">
        <f>Q12</f>
        <v>31756.2143352</v>
      </c>
      <c r="R16" s="154">
        <f>R12*(1-$D$16/100)</f>
        <v>26396.083132849948</v>
      </c>
      <c r="S16" s="154">
        <f t="shared" si="4"/>
        <v>5360.13120235005</v>
      </c>
    </row>
    <row r="17" spans="3:19" ht="19.5" customHeight="1">
      <c r="C17" s="156" t="s">
        <v>68</v>
      </c>
      <c r="D17" s="158">
        <v>10</v>
      </c>
      <c r="E17" s="154">
        <f>E12</f>
        <v>30720</v>
      </c>
      <c r="F17" s="154">
        <f>$F$12+('Internal Use - SUMMARY'!D14)*($D$17/100)</f>
        <v>29712.428000550008</v>
      </c>
      <c r="G17" s="154">
        <f t="shared" si="0"/>
        <v>1007.5719994499923</v>
      </c>
      <c r="H17" s="154">
        <f>H12</f>
        <v>30975.2</v>
      </c>
      <c r="I17" s="154">
        <f>$I$12+('Internal Use - SUMMARY'!E14)*($D$17/100)</f>
        <v>29717.736160550005</v>
      </c>
      <c r="J17" s="154">
        <f t="shared" si="1"/>
        <v>1257.4638394499962</v>
      </c>
      <c r="K17" s="154">
        <f>K12</f>
        <v>31232.951999999997</v>
      </c>
      <c r="L17" s="154">
        <f>L12+('Internal Use - SUMMARY'!F14)*($D$17/100)</f>
        <v>29723.097402150004</v>
      </c>
      <c r="M17" s="154">
        <f t="shared" si="2"/>
        <v>1509.8545978499933</v>
      </c>
      <c r="N17" s="154">
        <f>N12</f>
        <v>31493.281520000004</v>
      </c>
      <c r="O17" s="154">
        <f>O12+('Internal Use - SUMMARY'!G14)*($D$17/100)</f>
        <v>29728.512256166006</v>
      </c>
      <c r="P17" s="154">
        <f t="shared" si="3"/>
        <v>1764.7692638339977</v>
      </c>
      <c r="Q17" s="154">
        <f>Q12</f>
        <v>31756.2143352</v>
      </c>
      <c r="R17" s="154">
        <f>$R$12+('Internal Use - SUMMARY'!H14)*($D$17/100)</f>
        <v>29733.981258722164</v>
      </c>
      <c r="S17" s="154">
        <f t="shared" si="4"/>
        <v>2022.2330764778344</v>
      </c>
    </row>
    <row r="18" spans="3:19" ht="19.5" customHeight="1">
      <c r="C18" s="156" t="s">
        <v>69</v>
      </c>
      <c r="D18" s="158">
        <v>10</v>
      </c>
      <c r="E18" s="154">
        <f>E12</f>
        <v>30720</v>
      </c>
      <c r="F18" s="154">
        <f>$F$12-('Internal Use - SUMMARY'!D14)*($D$18/100)</f>
        <v>28902.428000550008</v>
      </c>
      <c r="G18" s="154">
        <f t="shared" si="0"/>
        <v>1817.5719994499923</v>
      </c>
      <c r="H18" s="154">
        <f>H12</f>
        <v>30975.2</v>
      </c>
      <c r="I18" s="154">
        <f>I12-('Internal Use - SUMMARY'!E14)*($D$18/100)</f>
        <v>28907.736160550005</v>
      </c>
      <c r="J18" s="154">
        <f t="shared" si="1"/>
        <v>2067.463839449996</v>
      </c>
      <c r="K18" s="154">
        <f>K12</f>
        <v>31232.951999999997</v>
      </c>
      <c r="L18" s="154">
        <f>L12-('Internal Use - SUMMARY'!F14)*($D$18/100)</f>
        <v>28913.097402150004</v>
      </c>
      <c r="M18" s="154">
        <f t="shared" si="2"/>
        <v>2319.8545978499933</v>
      </c>
      <c r="N18" s="154">
        <f>N12</f>
        <v>31493.281520000004</v>
      </c>
      <c r="O18" s="154">
        <f>O12-('Internal Use - SUMMARY'!G14)*($D$18/100)</f>
        <v>28918.512256166006</v>
      </c>
      <c r="P18" s="154">
        <f t="shared" si="3"/>
        <v>2574.7692638339977</v>
      </c>
      <c r="Q18" s="154">
        <f>Q12</f>
        <v>31756.2143352</v>
      </c>
      <c r="R18" s="154">
        <f>$R$12-('Internal Use - SUMMARY'!H14)*($D$18/100)</f>
        <v>28923.981258722164</v>
      </c>
      <c r="S18" s="154">
        <f t="shared" si="4"/>
        <v>2832.2330764778344</v>
      </c>
    </row>
    <row r="19" spans="3:19" ht="19.5" customHeight="1">
      <c r="C19" s="156" t="s">
        <v>76</v>
      </c>
      <c r="D19" s="158">
        <v>10</v>
      </c>
      <c r="E19" s="154">
        <f>E12</f>
        <v>30720</v>
      </c>
      <c r="F19" s="154">
        <f>F$12-'Internal Use - SUMMARY'!D18+('Internal Use - SUMMARY'!D18*(1+$D$19/100))</f>
        <v>29402.696643555606</v>
      </c>
      <c r="G19" s="154">
        <f t="shared" si="0"/>
        <v>1317.303356444394</v>
      </c>
      <c r="H19" s="154">
        <f>H12</f>
        <v>30975.2</v>
      </c>
      <c r="I19" s="154">
        <f>I$12-'Internal Use - SUMMARY'!E18+('Internal Use - SUMMARY'!E18*(1+$D$19/100))</f>
        <v>29408.004803555603</v>
      </c>
      <c r="J19" s="154">
        <f t="shared" si="1"/>
        <v>1567.1951964443979</v>
      </c>
      <c r="K19" s="154">
        <f>K12</f>
        <v>31232.951999999997</v>
      </c>
      <c r="L19" s="154">
        <f>L$12-'Internal Use - SUMMARY'!F18+('Internal Use - SUMMARY'!F18*(1+$D$19/100))</f>
        <v>29413.366045155602</v>
      </c>
      <c r="M19" s="154">
        <f t="shared" si="2"/>
        <v>1819.585954844395</v>
      </c>
      <c r="N19" s="154">
        <f>N12</f>
        <v>31493.281520000004</v>
      </c>
      <c r="O19" s="154">
        <f>O$12-'Internal Use - SUMMARY'!G18+('Internal Use - SUMMARY'!G18*(1+$D$19/100))</f>
        <v>29418.780899171605</v>
      </c>
      <c r="P19" s="154">
        <f t="shared" si="3"/>
        <v>2074.5006208283994</v>
      </c>
      <c r="Q19" s="154">
        <f>Q12</f>
        <v>31756.2143352</v>
      </c>
      <c r="R19" s="154">
        <f>R$12-'Internal Use - SUMMARY'!H18+('Internal Use - SUMMARY'!H18*(1+$D$19/100))</f>
        <v>29424.249901727762</v>
      </c>
      <c r="S19" s="154">
        <f>Q19-R19</f>
        <v>2331.964433472236</v>
      </c>
    </row>
    <row r="20" spans="3:19" ht="19.5" customHeight="1">
      <c r="C20" s="156" t="s">
        <v>77</v>
      </c>
      <c r="D20" s="158">
        <v>10</v>
      </c>
      <c r="E20" s="154">
        <f>E12</f>
        <v>30720</v>
      </c>
      <c r="F20" s="154">
        <f>F$12-'Internal Use - SUMMARY'!D18+('Internal Use - SUMMARY'!D18/(1+$D$20/100))</f>
        <v>29220.820143272187</v>
      </c>
      <c r="G20" s="154">
        <f t="shared" si="0"/>
        <v>1499.1798567278129</v>
      </c>
      <c r="H20" s="154">
        <f>H12</f>
        <v>30975.2</v>
      </c>
      <c r="I20" s="154">
        <f>I$12-'Internal Use - SUMMARY'!E18+('Internal Use - SUMMARY'!E18/(1+$D$20/100))</f>
        <v>29226.128303272184</v>
      </c>
      <c r="J20" s="154">
        <f t="shared" si="1"/>
        <v>1749.0716967278167</v>
      </c>
      <c r="K20" s="154">
        <f>K12</f>
        <v>31232.951999999997</v>
      </c>
      <c r="L20" s="154">
        <f>L$12-'Internal Use - SUMMARY'!F18+('Internal Use - SUMMARY'!F18/(1+$D$20/100))</f>
        <v>29231.489544872184</v>
      </c>
      <c r="M20" s="154">
        <f t="shared" si="2"/>
        <v>2001.4624551278139</v>
      </c>
      <c r="N20" s="154">
        <f>N12</f>
        <v>31493.281520000004</v>
      </c>
      <c r="O20" s="154">
        <f>O$12-'Internal Use - SUMMARY'!G18+('Internal Use - SUMMARY'!G18/(1+$D$20/100))</f>
        <v>29236.904398888186</v>
      </c>
      <c r="P20" s="154">
        <f t="shared" si="3"/>
        <v>2256.3771211118183</v>
      </c>
      <c r="Q20" s="154">
        <f>Q12</f>
        <v>31756.2143352</v>
      </c>
      <c r="R20" s="154">
        <f>R$12-'Internal Use - SUMMARY'!H18+('Internal Use - SUMMARY'!H18/(1+$D$20/100))</f>
        <v>29242.373401444343</v>
      </c>
      <c r="S20" s="154">
        <f>Q20-R20</f>
        <v>2513.840933755655</v>
      </c>
    </row>
    <row r="21" spans="3:19" ht="19.5" customHeight="1">
      <c r="C21" s="159"/>
      <c r="D21" s="160"/>
      <c r="E21" s="161"/>
      <c r="F21" s="161"/>
      <c r="G21" s="161"/>
      <c r="H21" s="161"/>
      <c r="I21" s="161"/>
      <c r="J21" s="161"/>
      <c r="K21" s="161"/>
      <c r="L21" s="161"/>
      <c r="M21" s="161"/>
      <c r="N21" s="161"/>
      <c r="O21" s="161"/>
      <c r="P21" s="161"/>
      <c r="Q21" s="161"/>
      <c r="R21" s="161"/>
      <c r="S21" s="161"/>
    </row>
    <row r="22" spans="3:8" ht="12.75">
      <c r="C22" s="159"/>
      <c r="D22" s="162"/>
      <c r="E22" s="162"/>
      <c r="F22" s="162"/>
      <c r="G22" s="162"/>
      <c r="H22" s="162"/>
    </row>
    <row r="23" spans="3:8" ht="12.75">
      <c r="C23" s="159"/>
      <c r="D23" s="163"/>
      <c r="E23" s="163"/>
      <c r="F23" s="163"/>
      <c r="G23" s="163"/>
      <c r="H23" s="163"/>
    </row>
  </sheetData>
  <sheetProtection/>
  <mergeCells count="9">
    <mergeCell ref="Q10:S10"/>
    <mergeCell ref="N10:P10"/>
    <mergeCell ref="A1:P1"/>
    <mergeCell ref="A2:P2"/>
    <mergeCell ref="C10:C11"/>
    <mergeCell ref="D10:D11"/>
    <mergeCell ref="H10:J10"/>
    <mergeCell ref="K10:M10"/>
    <mergeCell ref="E10:G10"/>
  </mergeCells>
  <printOptions horizontalCentered="1"/>
  <pageMargins left="0.1968503937007874" right="0.1968503937007874" top="0.1968503937007874" bottom="0.1968503937007874" header="0.5118110236220472" footer="0.5118110236220472"/>
  <pageSetup horizontalDpi="600" verticalDpi="600" orientation="portrait" paperSize="9" scale="49"/>
  <drawing r:id="rId2"/>
  <legacy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J40"/>
  <sheetViews>
    <sheetView zoomScalePageLayoutView="0" workbookViewId="0" topLeftCell="A16">
      <selection activeCell="A30" sqref="A30"/>
    </sheetView>
  </sheetViews>
  <sheetFormatPr defaultColWidth="11.421875" defaultRowHeight="12.75"/>
  <cols>
    <col min="1" max="1" width="43.421875" style="6" customWidth="1"/>
    <col min="2" max="2" width="8.8515625" style="10" hidden="1" customWidth="1"/>
    <col min="3" max="3" width="10.8515625" style="10" customWidth="1"/>
    <col min="4" max="4" width="11.00390625" style="10" customWidth="1"/>
    <col min="5" max="5" width="17.8515625" style="10" customWidth="1"/>
    <col min="6" max="6" width="10.8515625" style="10" customWidth="1"/>
    <col min="7" max="7" width="7.140625" style="10" customWidth="1"/>
    <col min="8" max="8" width="3.140625" style="10" customWidth="1"/>
    <col min="9" max="9" width="11.421875" style="10" customWidth="1"/>
    <col min="10" max="16384" width="11.421875" style="10" customWidth="1"/>
  </cols>
  <sheetData>
    <row r="1" ht="11.25">
      <c r="A1" s="9" t="str">
        <f>'Internal Use - SUMMARY'!A1</f>
        <v>England Hockey</v>
      </c>
    </row>
    <row r="2" ht="11.25">
      <c r="A2" s="6" t="str">
        <f>'Internal Use - SUMMARY'!A2</f>
        <v>Non-Asset Owning Club</v>
      </c>
    </row>
    <row r="3" spans="1:2" ht="11.25">
      <c r="A3" s="9" t="s">
        <v>90</v>
      </c>
      <c r="B3" s="29"/>
    </row>
    <row r="4" spans="1:6" ht="11.25">
      <c r="A4" s="9" t="s">
        <v>10</v>
      </c>
      <c r="D4" s="15"/>
      <c r="E4" s="15"/>
      <c r="F4" s="15"/>
    </row>
    <row r="5" spans="3:4" ht="11.25">
      <c r="C5" s="361"/>
      <c r="D5" s="363"/>
    </row>
    <row r="6" spans="1:5" ht="11.25">
      <c r="A6" s="9" t="s">
        <v>114</v>
      </c>
      <c r="C6" s="362"/>
      <c r="D6" s="364"/>
      <c r="E6" s="9" t="s">
        <v>102</v>
      </c>
    </row>
    <row r="7" spans="1:9" ht="11.25">
      <c r="A7" s="6" t="s">
        <v>368</v>
      </c>
      <c r="C7" s="121">
        <v>0</v>
      </c>
      <c r="E7" s="6" t="s">
        <v>91</v>
      </c>
      <c r="I7" s="122">
        <v>0</v>
      </c>
    </row>
    <row r="8" spans="1:9" ht="11.25">
      <c r="A8" s="6" t="s">
        <v>311</v>
      </c>
      <c r="C8" s="121">
        <v>0</v>
      </c>
      <c r="E8" s="6" t="s">
        <v>23</v>
      </c>
      <c r="I8" s="122">
        <v>0</v>
      </c>
    </row>
    <row r="9" spans="1:9" ht="11.25">
      <c r="A9" s="6" t="str">
        <f>'Internal Use - SUMMARY'!A9</f>
        <v>Club Subscriptions</v>
      </c>
      <c r="C9" s="121">
        <v>0</v>
      </c>
      <c r="E9" s="6" t="s">
        <v>24</v>
      </c>
      <c r="I9" s="122">
        <v>0</v>
      </c>
    </row>
    <row r="10" spans="1:9" ht="11.25">
      <c r="A10" s="6" t="s">
        <v>348</v>
      </c>
      <c r="C10" s="121">
        <v>0</v>
      </c>
      <c r="D10" s="13"/>
      <c r="E10" s="6" t="s">
        <v>92</v>
      </c>
      <c r="I10" s="122">
        <v>0.2</v>
      </c>
    </row>
    <row r="11" spans="1:4" ht="11.25">
      <c r="A11" s="6" t="str">
        <f>'Internal Use - SUMMARY'!A14</f>
        <v>Coaching and Umpire Fees</v>
      </c>
      <c r="C11" s="121">
        <v>0</v>
      </c>
      <c r="D11" s="13"/>
    </row>
    <row r="12" spans="1:10" ht="11.25">
      <c r="A12" s="6" t="s">
        <v>378</v>
      </c>
      <c r="C12" s="121">
        <v>0</v>
      </c>
      <c r="D12" s="13"/>
      <c r="E12" s="9" t="s">
        <v>120</v>
      </c>
      <c r="I12" s="123">
        <v>0.8</v>
      </c>
      <c r="J12" s="14" t="s">
        <v>253</v>
      </c>
    </row>
    <row r="13" spans="1:10" ht="11.25">
      <c r="A13" s="6" t="s">
        <v>379</v>
      </c>
      <c r="C13" s="121">
        <v>0</v>
      </c>
      <c r="D13" s="13"/>
      <c r="E13" s="6"/>
      <c r="J13" s="14" t="s">
        <v>254</v>
      </c>
    </row>
    <row r="14" spans="1:9" ht="11.25">
      <c r="A14" s="11" t="s">
        <v>39</v>
      </c>
      <c r="C14" s="121">
        <v>0</v>
      </c>
      <c r="D14" s="13"/>
      <c r="E14" s="9" t="s">
        <v>119</v>
      </c>
      <c r="I14" s="15"/>
    </row>
    <row r="15" spans="1:9" ht="11.25">
      <c r="A15" s="11" t="s">
        <v>380</v>
      </c>
      <c r="C15" s="121">
        <v>0</v>
      </c>
      <c r="D15" s="13"/>
      <c r="E15" s="11" t="s">
        <v>36</v>
      </c>
      <c r="I15" s="178">
        <v>0</v>
      </c>
    </row>
    <row r="16" spans="1:10" ht="11.25">
      <c r="A16" s="11" t="s">
        <v>222</v>
      </c>
      <c r="C16" s="121">
        <v>0</v>
      </c>
      <c r="E16" s="11" t="s">
        <v>47</v>
      </c>
      <c r="I16" s="178">
        <v>0.2</v>
      </c>
      <c r="J16" s="14"/>
    </row>
    <row r="17" spans="1:9" ht="11.25">
      <c r="A17" s="11" t="s">
        <v>63</v>
      </c>
      <c r="C17" s="121">
        <v>0</v>
      </c>
      <c r="E17" s="11" t="s">
        <v>39</v>
      </c>
      <c r="I17" s="125">
        <v>0.06</v>
      </c>
    </row>
    <row r="18" spans="5:9" ht="11.25">
      <c r="E18" s="11" t="s">
        <v>379</v>
      </c>
      <c r="I18" s="178">
        <v>0.2</v>
      </c>
    </row>
    <row r="19" spans="1:9" ht="11.25">
      <c r="A19" s="9" t="s">
        <v>98</v>
      </c>
      <c r="D19" s="13"/>
      <c r="E19" s="11" t="s">
        <v>8</v>
      </c>
      <c r="I19" s="178">
        <v>0.2</v>
      </c>
    </row>
    <row r="20" spans="1:9" ht="11.25">
      <c r="A20" s="11" t="s">
        <v>107</v>
      </c>
      <c r="C20" s="125">
        <v>0.02</v>
      </c>
      <c r="E20" s="11" t="s">
        <v>43</v>
      </c>
      <c r="I20" s="178">
        <v>0.2</v>
      </c>
    </row>
    <row r="21" spans="1:9" ht="11.25">
      <c r="A21" s="11" t="s">
        <v>106</v>
      </c>
      <c r="C21" s="125">
        <v>0.5</v>
      </c>
      <c r="E21" s="11" t="s">
        <v>40</v>
      </c>
      <c r="I21" s="178">
        <v>0.2</v>
      </c>
    </row>
    <row r="22" spans="1:9" ht="11.25">
      <c r="A22" s="11" t="s">
        <v>41</v>
      </c>
      <c r="C22" s="125">
        <v>0</v>
      </c>
      <c r="E22" s="11" t="s">
        <v>48</v>
      </c>
      <c r="I22" s="178">
        <v>0.2</v>
      </c>
    </row>
    <row r="23" spans="1:9" ht="11.25">
      <c r="A23" s="11" t="s">
        <v>255</v>
      </c>
      <c r="C23" s="124">
        <v>0</v>
      </c>
      <c r="E23" s="11" t="s">
        <v>41</v>
      </c>
      <c r="I23" s="178">
        <v>0</v>
      </c>
    </row>
    <row r="24" spans="1:9" ht="11.25">
      <c r="A24" s="11"/>
      <c r="B24" s="15"/>
      <c r="C24" s="16"/>
      <c r="E24" s="11" t="s">
        <v>42</v>
      </c>
      <c r="I24" s="178">
        <v>0</v>
      </c>
    </row>
    <row r="25" spans="1:2" ht="11.25">
      <c r="A25" s="9" t="s">
        <v>93</v>
      </c>
      <c r="B25" s="13"/>
    </row>
    <row r="26" spans="1:5" ht="11.25">
      <c r="A26" s="6" t="s">
        <v>94</v>
      </c>
      <c r="B26" s="13">
        <f>IF(C26="yes",100%,0)</f>
        <v>0</v>
      </c>
      <c r="C26" s="126" t="s">
        <v>97</v>
      </c>
      <c r="E26" s="29" t="s">
        <v>116</v>
      </c>
    </row>
    <row r="27" spans="1:9" ht="11.25">
      <c r="A27" s="6" t="s">
        <v>95</v>
      </c>
      <c r="B27" s="13">
        <f>IF(C27="yes",25%,0)</f>
        <v>0</v>
      </c>
      <c r="C27" s="126" t="s">
        <v>97</v>
      </c>
      <c r="E27" s="10" t="s">
        <v>121</v>
      </c>
      <c r="I27" s="17">
        <f>'Equipment Replacement'!J16</f>
        <v>7583.333333333334</v>
      </c>
    </row>
    <row r="28" spans="1:9" ht="11.25">
      <c r="A28" s="6" t="s">
        <v>118</v>
      </c>
      <c r="B28" s="13">
        <f>IF(C28="yes",100%,0)</f>
        <v>0</v>
      </c>
      <c r="C28" s="126" t="s">
        <v>97</v>
      </c>
      <c r="D28" s="13"/>
      <c r="E28" s="10" t="s">
        <v>200</v>
      </c>
      <c r="I28" s="126">
        <v>10</v>
      </c>
    </row>
    <row r="29" spans="1:9" ht="11.25">
      <c r="A29" s="6" t="s">
        <v>382</v>
      </c>
      <c r="B29" s="13">
        <f>IF(C29="yes",15%,0)</f>
        <v>0.15</v>
      </c>
      <c r="C29" s="126" t="s">
        <v>96</v>
      </c>
      <c r="E29" s="10" t="s">
        <v>288</v>
      </c>
      <c r="I29" s="180">
        <f>I27/I28</f>
        <v>758.3333333333334</v>
      </c>
    </row>
    <row r="30" spans="1:9" ht="11.25">
      <c r="A30" s="6" t="s">
        <v>115</v>
      </c>
      <c r="B30" s="18">
        <f>SUM(B26:B29)</f>
        <v>0.15</v>
      </c>
      <c r="C30" s="126">
        <v>41.4</v>
      </c>
      <c r="D30" s="13"/>
      <c r="E30" s="10" t="s">
        <v>226</v>
      </c>
      <c r="I30" s="180">
        <f>(I27-'Equipment Replacement'!J7-'Equipment Replacement'!J8-'Equipment Replacement'!J9-'Equipment Replacement'!J10)/I28</f>
        <v>758.3333333333334</v>
      </c>
    </row>
    <row r="31" spans="1:9" ht="11.25">
      <c r="A31" s="10"/>
      <c r="E31" s="10" t="s">
        <v>290</v>
      </c>
      <c r="I31" s="180">
        <f>I30</f>
        <v>758.3333333333334</v>
      </c>
    </row>
    <row r="32" spans="1:9" ht="11.25">
      <c r="A32" s="9" t="s">
        <v>289</v>
      </c>
      <c r="I32" s="7"/>
    </row>
    <row r="33" spans="1:3" ht="11.25">
      <c r="A33" s="6" t="s">
        <v>278</v>
      </c>
      <c r="C33" s="126">
        <v>0</v>
      </c>
    </row>
    <row r="34" ht="11.25">
      <c r="C34" s="15"/>
    </row>
    <row r="38" ht="11.25">
      <c r="I38" s="15"/>
    </row>
    <row r="40" ht="11.25">
      <c r="D40" s="13"/>
    </row>
  </sheetData>
  <sheetProtection/>
  <mergeCells count="2">
    <mergeCell ref="C5:C6"/>
    <mergeCell ref="D5:D6"/>
  </mergeCells>
  <printOptions/>
  <pageMargins left="0.75" right="0.75" top="1" bottom="1" header="0.5" footer="0.5"/>
  <pageSetup fitToHeight="1" fitToWidth="1" horizontalDpi="600" verticalDpi="600" orientation="landscape" paperSize="9" scale="85"/>
</worksheet>
</file>

<file path=xl/worksheets/sheet6.xml><?xml version="1.0" encoding="utf-8"?>
<worksheet xmlns="http://schemas.openxmlformats.org/spreadsheetml/2006/main" xmlns:r="http://schemas.openxmlformats.org/officeDocument/2006/relationships">
  <sheetPr>
    <tabColor rgb="FFFFC000"/>
  </sheetPr>
  <dimension ref="A1:K146"/>
  <sheetViews>
    <sheetView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A106" sqref="A106:IV143"/>
    </sheetView>
  </sheetViews>
  <sheetFormatPr defaultColWidth="11.421875" defaultRowHeight="12.75"/>
  <cols>
    <col min="1" max="1" width="19.7109375" style="10" customWidth="1"/>
    <col min="2" max="2" width="38.00390625" style="10" customWidth="1"/>
    <col min="3" max="3" width="10.8515625" style="229" customWidth="1"/>
    <col min="4" max="4" width="10.28125" style="10" customWidth="1"/>
    <col min="5" max="5" width="11.00390625" style="229" customWidth="1"/>
    <col min="6" max="6" width="10.140625" style="27" customWidth="1"/>
    <col min="7" max="7" width="10.140625" style="229" customWidth="1"/>
    <col min="8" max="8" width="10.421875" style="10" bestFit="1" customWidth="1"/>
    <col min="9" max="9" width="10.7109375" style="10" customWidth="1"/>
    <col min="10" max="10" width="16.8515625" style="224" customWidth="1"/>
    <col min="11" max="16384" width="11.421875" style="10" customWidth="1"/>
  </cols>
  <sheetData>
    <row r="1" ht="11.25">
      <c r="A1" s="29" t="str">
        <f>'Front Cover'!A8:M8</f>
        <v>England Hockey</v>
      </c>
    </row>
    <row r="2" ht="11.25">
      <c r="A2" s="10" t="str">
        <f>'Front Cover'!A10:M10</f>
        <v>Non-Asset Owning Club</v>
      </c>
    </row>
    <row r="3" spans="1:10" ht="11.25">
      <c r="A3" s="29" t="s">
        <v>122</v>
      </c>
      <c r="F3" s="169"/>
      <c r="G3" s="243"/>
      <c r="H3" s="10" t="s">
        <v>287</v>
      </c>
      <c r="I3" s="223">
        <f>'Input Flags'!I28</f>
        <v>10</v>
      </c>
      <c r="J3" s="224" t="s">
        <v>197</v>
      </c>
    </row>
    <row r="5" spans="1:10" ht="33.75">
      <c r="A5" s="279" t="s">
        <v>201</v>
      </c>
      <c r="B5" s="279" t="s">
        <v>207</v>
      </c>
      <c r="C5" s="280" t="s">
        <v>123</v>
      </c>
      <c r="D5" s="279" t="s">
        <v>198</v>
      </c>
      <c r="E5" s="280" t="s">
        <v>209</v>
      </c>
      <c r="F5" s="279" t="s">
        <v>210</v>
      </c>
      <c r="G5" s="280" t="s">
        <v>196</v>
      </c>
      <c r="H5" s="279" t="s">
        <v>124</v>
      </c>
      <c r="I5" s="279" t="s">
        <v>199</v>
      </c>
      <c r="J5" s="281" t="s">
        <v>195</v>
      </c>
    </row>
    <row r="6" spans="1:10" ht="11.25" hidden="1">
      <c r="A6" s="120"/>
      <c r="B6" s="250" t="str">
        <f>B43</f>
        <v>Grounds Maintenance</v>
      </c>
      <c r="C6" s="184"/>
      <c r="D6" s="250"/>
      <c r="E6" s="251">
        <f>E43</f>
        <v>0</v>
      </c>
      <c r="F6" s="252"/>
      <c r="G6" s="251">
        <f>G43</f>
        <v>0</v>
      </c>
      <c r="H6" s="200"/>
      <c r="I6" s="200"/>
      <c r="J6" s="253">
        <f>J43</f>
        <v>0</v>
      </c>
    </row>
    <row r="7" spans="1:10" ht="11.25" hidden="1">
      <c r="A7" s="120"/>
      <c r="B7" s="250" t="str">
        <f>B55</f>
        <v>CV Equipment</v>
      </c>
      <c r="C7" s="184"/>
      <c r="D7" s="250"/>
      <c r="E7" s="251">
        <f>E55</f>
        <v>0</v>
      </c>
      <c r="F7" s="252"/>
      <c r="G7" s="251">
        <f>G55</f>
        <v>0</v>
      </c>
      <c r="H7" s="200"/>
      <c r="I7" s="200"/>
      <c r="J7" s="253">
        <f>J55</f>
        <v>0</v>
      </c>
    </row>
    <row r="8" spans="1:10" ht="11.25" hidden="1">
      <c r="A8" s="120"/>
      <c r="B8" s="250" t="str">
        <f>B66</f>
        <v>Resistence Equipment</v>
      </c>
      <c r="C8" s="184"/>
      <c r="D8" s="250"/>
      <c r="E8" s="251">
        <f>E66</f>
        <v>0</v>
      </c>
      <c r="F8" s="252"/>
      <c r="G8" s="251">
        <f>G66</f>
        <v>0</v>
      </c>
      <c r="H8" s="200"/>
      <c r="I8" s="200"/>
      <c r="J8" s="253">
        <f>J66</f>
        <v>0</v>
      </c>
    </row>
    <row r="9" spans="1:10" ht="11.25" hidden="1">
      <c r="A9" s="120"/>
      <c r="B9" s="250" t="str">
        <f>B83</f>
        <v>Fitness General</v>
      </c>
      <c r="C9" s="184"/>
      <c r="D9" s="250"/>
      <c r="E9" s="251">
        <f>E83</f>
        <v>0</v>
      </c>
      <c r="F9" s="252"/>
      <c r="G9" s="251">
        <f>G83</f>
        <v>0</v>
      </c>
      <c r="H9" s="200"/>
      <c r="I9" s="200"/>
      <c r="J9" s="253">
        <f>J83</f>
        <v>0</v>
      </c>
    </row>
    <row r="10" spans="1:10" ht="11.25" hidden="1">
      <c r="A10" s="120"/>
      <c r="B10" s="250" t="str">
        <f>B92</f>
        <v>Dance Studio</v>
      </c>
      <c r="C10" s="184"/>
      <c r="D10" s="250"/>
      <c r="E10" s="251">
        <f>E92</f>
        <v>0</v>
      </c>
      <c r="F10" s="252"/>
      <c r="G10" s="251">
        <f>G92</f>
        <v>0</v>
      </c>
      <c r="H10" s="200"/>
      <c r="I10" s="200"/>
      <c r="J10" s="253">
        <f>J92</f>
        <v>0</v>
      </c>
    </row>
    <row r="11" spans="1:10" ht="11.25">
      <c r="A11" s="120"/>
      <c r="B11" s="250" t="str">
        <f>A94</f>
        <v>Hockey</v>
      </c>
      <c r="C11" s="184"/>
      <c r="D11" s="250"/>
      <c r="E11" s="251">
        <f>E104</f>
        <v>3275</v>
      </c>
      <c r="F11" s="252"/>
      <c r="G11" s="251">
        <f>G104</f>
        <v>0</v>
      </c>
      <c r="H11" s="200"/>
      <c r="I11" s="200"/>
      <c r="J11" s="253">
        <f>J104</f>
        <v>7583.333333333334</v>
      </c>
    </row>
    <row r="12" spans="1:10" ht="11.25">
      <c r="A12" s="120"/>
      <c r="B12" s="250" t="str">
        <f>B109</f>
        <v>Café</v>
      </c>
      <c r="C12" s="184"/>
      <c r="D12" s="250"/>
      <c r="E12" s="251">
        <f>E109</f>
        <v>0</v>
      </c>
      <c r="F12" s="252"/>
      <c r="G12" s="251">
        <f>G109</f>
        <v>0</v>
      </c>
      <c r="H12" s="200"/>
      <c r="I12" s="200"/>
      <c r="J12" s="253">
        <f>J109</f>
        <v>0</v>
      </c>
    </row>
    <row r="13" spans="1:10" ht="11.25">
      <c r="A13" s="120"/>
      <c r="B13" s="250" t="str">
        <f>B121</f>
        <v>Administration</v>
      </c>
      <c r="C13" s="184"/>
      <c r="D13" s="250"/>
      <c r="E13" s="251">
        <f>E121</f>
        <v>0</v>
      </c>
      <c r="F13" s="252"/>
      <c r="G13" s="251">
        <f>G121</f>
        <v>0</v>
      </c>
      <c r="H13" s="200"/>
      <c r="I13" s="200"/>
      <c r="J13" s="253">
        <f>J121</f>
        <v>0</v>
      </c>
    </row>
    <row r="14" spans="1:10" ht="11.25">
      <c r="A14" s="120"/>
      <c r="B14" s="250" t="str">
        <f>B131</f>
        <v>General</v>
      </c>
      <c r="C14" s="184"/>
      <c r="D14" s="250"/>
      <c r="E14" s="251">
        <f>E131</f>
        <v>0</v>
      </c>
      <c r="F14" s="252"/>
      <c r="G14" s="251">
        <f>G131</f>
        <v>0</v>
      </c>
      <c r="H14" s="200"/>
      <c r="I14" s="200"/>
      <c r="J14" s="253">
        <f>J131</f>
        <v>0</v>
      </c>
    </row>
    <row r="15" spans="1:10" ht="11.25">
      <c r="A15" s="120"/>
      <c r="B15" s="250" t="str">
        <f>B143</f>
        <v>ICT</v>
      </c>
      <c r="C15" s="184"/>
      <c r="D15" s="250"/>
      <c r="E15" s="251">
        <f>E143</f>
        <v>0</v>
      </c>
      <c r="F15" s="252"/>
      <c r="G15" s="251">
        <f>G143</f>
        <v>0</v>
      </c>
      <c r="H15" s="200"/>
      <c r="I15" s="200"/>
      <c r="J15" s="253">
        <f>J143</f>
        <v>0</v>
      </c>
    </row>
    <row r="16" spans="2:10" ht="11.25">
      <c r="B16" s="201" t="s">
        <v>100</v>
      </c>
      <c r="C16" s="238"/>
      <c r="D16" s="202"/>
      <c r="E16" s="230">
        <f>SUM(E6:E15)</f>
        <v>3275</v>
      </c>
      <c r="F16" s="202"/>
      <c r="G16" s="230">
        <f>SUM(G6:G15)</f>
        <v>0</v>
      </c>
      <c r="H16" s="203"/>
      <c r="I16" s="203"/>
      <c r="J16" s="226">
        <f>SUM(J6:J15)</f>
        <v>7583.333333333334</v>
      </c>
    </row>
    <row r="17" spans="2:9" ht="11.25">
      <c r="B17" s="203"/>
      <c r="D17" s="203"/>
      <c r="E17" s="231"/>
      <c r="F17" s="204"/>
      <c r="G17" s="231"/>
      <c r="H17" s="203"/>
      <c r="I17" s="203"/>
    </row>
    <row r="18" spans="1:11" ht="11.25" hidden="1">
      <c r="A18" s="120" t="str">
        <f aca="true" t="shared" si="0" ref="A18:A41">A19</f>
        <v>Grounds Maintenance</v>
      </c>
      <c r="B18" s="200" t="s">
        <v>248</v>
      </c>
      <c r="C18" s="282">
        <v>2500</v>
      </c>
      <c r="D18" s="283"/>
      <c r="E18" s="232">
        <f>C18*D18</f>
        <v>0</v>
      </c>
      <c r="F18" s="284" t="s">
        <v>96</v>
      </c>
      <c r="G18" s="232">
        <f>IF(F18="Yes",E18,0)</f>
        <v>0</v>
      </c>
      <c r="H18" s="205">
        <v>10</v>
      </c>
      <c r="I18" s="208">
        <f>$I$3/H18</f>
        <v>1</v>
      </c>
      <c r="J18" s="225">
        <f>E18*I18</f>
        <v>0</v>
      </c>
      <c r="K18" s="28"/>
    </row>
    <row r="19" spans="1:10" ht="11.25" hidden="1">
      <c r="A19" s="120" t="str">
        <f t="shared" si="0"/>
        <v>Grounds Maintenance</v>
      </c>
      <c r="B19" s="200" t="s">
        <v>249</v>
      </c>
      <c r="C19" s="282">
        <v>2500</v>
      </c>
      <c r="D19" s="283"/>
      <c r="E19" s="232">
        <f aca="true" t="shared" si="1" ref="E19:E42">C19*D19</f>
        <v>0</v>
      </c>
      <c r="F19" s="284" t="s">
        <v>97</v>
      </c>
      <c r="G19" s="244">
        <f aca="true" t="shared" si="2" ref="G19:G42">IF(F19="Yes",E19,0)</f>
        <v>0</v>
      </c>
      <c r="H19" s="205">
        <v>1</v>
      </c>
      <c r="I19" s="208">
        <f aca="true" t="shared" si="3" ref="I19:I42">$I$3/H19</f>
        <v>10</v>
      </c>
      <c r="J19" s="225">
        <f>E19*I19</f>
        <v>0</v>
      </c>
    </row>
    <row r="20" spans="1:11" ht="11.25" hidden="1">
      <c r="A20" s="120" t="str">
        <f t="shared" si="0"/>
        <v>Grounds Maintenance</v>
      </c>
      <c r="B20" s="200" t="s">
        <v>227</v>
      </c>
      <c r="C20" s="282">
        <v>350</v>
      </c>
      <c r="D20" s="283"/>
      <c r="E20" s="232">
        <f t="shared" si="1"/>
        <v>0</v>
      </c>
      <c r="F20" s="284" t="s">
        <v>96</v>
      </c>
      <c r="G20" s="244">
        <f t="shared" si="2"/>
        <v>0</v>
      </c>
      <c r="H20" s="205">
        <v>7</v>
      </c>
      <c r="I20" s="208">
        <f t="shared" si="3"/>
        <v>1.4285714285714286</v>
      </c>
      <c r="J20" s="225">
        <v>0</v>
      </c>
      <c r="K20" s="28"/>
    </row>
    <row r="21" spans="1:10" ht="11.25" hidden="1">
      <c r="A21" s="120" t="str">
        <f t="shared" si="0"/>
        <v>Grounds Maintenance</v>
      </c>
      <c r="B21" s="200" t="s">
        <v>228</v>
      </c>
      <c r="C21" s="282">
        <v>45</v>
      </c>
      <c r="D21" s="283"/>
      <c r="E21" s="232">
        <f t="shared" si="1"/>
        <v>0</v>
      </c>
      <c r="F21" s="284" t="s">
        <v>96</v>
      </c>
      <c r="G21" s="244">
        <f t="shared" si="2"/>
        <v>0</v>
      </c>
      <c r="H21" s="205">
        <v>4</v>
      </c>
      <c r="I21" s="208">
        <f t="shared" si="3"/>
        <v>2.5</v>
      </c>
      <c r="J21" s="225">
        <f>E21*I21</f>
        <v>0</v>
      </c>
    </row>
    <row r="22" spans="1:10" ht="11.25" hidden="1">
      <c r="A22" s="120" t="str">
        <f t="shared" si="0"/>
        <v>Grounds Maintenance</v>
      </c>
      <c r="B22" s="200" t="s">
        <v>229</v>
      </c>
      <c r="C22" s="282">
        <v>1750</v>
      </c>
      <c r="D22" s="283"/>
      <c r="E22" s="232">
        <f t="shared" si="1"/>
        <v>0</v>
      </c>
      <c r="F22" s="284" t="s">
        <v>97</v>
      </c>
      <c r="G22" s="244">
        <f t="shared" si="2"/>
        <v>0</v>
      </c>
      <c r="H22" s="205">
        <v>10</v>
      </c>
      <c r="I22" s="208">
        <f t="shared" si="3"/>
        <v>1</v>
      </c>
      <c r="J22" s="225">
        <f>E22*I22</f>
        <v>0</v>
      </c>
    </row>
    <row r="23" spans="1:10" ht="11.25" hidden="1">
      <c r="A23" s="120" t="str">
        <f t="shared" si="0"/>
        <v>Grounds Maintenance</v>
      </c>
      <c r="B23" s="200" t="s">
        <v>230</v>
      </c>
      <c r="C23" s="282">
        <v>1200</v>
      </c>
      <c r="D23" s="283"/>
      <c r="E23" s="232">
        <f t="shared" si="1"/>
        <v>0</v>
      </c>
      <c r="F23" s="284" t="s">
        <v>96</v>
      </c>
      <c r="G23" s="244">
        <f t="shared" si="2"/>
        <v>0</v>
      </c>
      <c r="H23" s="205">
        <v>10</v>
      </c>
      <c r="I23" s="208">
        <f t="shared" si="3"/>
        <v>1</v>
      </c>
      <c r="J23" s="225">
        <f>E23*I23</f>
        <v>0</v>
      </c>
    </row>
    <row r="24" spans="1:10" ht="11.25" hidden="1">
      <c r="A24" s="120" t="str">
        <f t="shared" si="0"/>
        <v>Grounds Maintenance</v>
      </c>
      <c r="B24" s="200" t="s">
        <v>231</v>
      </c>
      <c r="C24" s="282">
        <v>40</v>
      </c>
      <c r="D24" s="283"/>
      <c r="E24" s="232">
        <f t="shared" si="1"/>
        <v>0</v>
      </c>
      <c r="F24" s="284" t="s">
        <v>96</v>
      </c>
      <c r="G24" s="244">
        <f t="shared" si="2"/>
        <v>0</v>
      </c>
      <c r="H24" s="205">
        <v>3</v>
      </c>
      <c r="I24" s="208">
        <f t="shared" si="3"/>
        <v>3.3333333333333335</v>
      </c>
      <c r="J24" s="225">
        <f>E24*I24</f>
        <v>0</v>
      </c>
    </row>
    <row r="25" spans="1:11" ht="11.25" hidden="1">
      <c r="A25" s="120" t="str">
        <f t="shared" si="0"/>
        <v>Grounds Maintenance</v>
      </c>
      <c r="B25" s="200" t="s">
        <v>232</v>
      </c>
      <c r="C25" s="282">
        <v>1875</v>
      </c>
      <c r="D25" s="283"/>
      <c r="E25" s="232">
        <f t="shared" si="1"/>
        <v>0</v>
      </c>
      <c r="F25" s="284" t="s">
        <v>96</v>
      </c>
      <c r="G25" s="244">
        <f t="shared" si="2"/>
        <v>0</v>
      </c>
      <c r="H25" s="205">
        <v>15</v>
      </c>
      <c r="I25" s="208">
        <f t="shared" si="3"/>
        <v>0.6666666666666666</v>
      </c>
      <c r="J25" s="225" t="s">
        <v>252</v>
      </c>
      <c r="K25" s="28"/>
    </row>
    <row r="26" spans="1:11" ht="11.25" hidden="1">
      <c r="A26" s="120" t="str">
        <f t="shared" si="0"/>
        <v>Grounds Maintenance</v>
      </c>
      <c r="B26" s="200" t="s">
        <v>306</v>
      </c>
      <c r="C26" s="282">
        <v>150</v>
      </c>
      <c r="D26" s="283"/>
      <c r="E26" s="232">
        <f t="shared" si="1"/>
        <v>0</v>
      </c>
      <c r="F26" s="284" t="s">
        <v>96</v>
      </c>
      <c r="G26" s="244">
        <f t="shared" si="2"/>
        <v>0</v>
      </c>
      <c r="H26" s="205">
        <v>3</v>
      </c>
      <c r="I26" s="208">
        <f t="shared" si="3"/>
        <v>3.3333333333333335</v>
      </c>
      <c r="J26" s="225">
        <v>0</v>
      </c>
      <c r="K26" s="28"/>
    </row>
    <row r="27" spans="1:11" ht="11.25" hidden="1">
      <c r="A27" s="120" t="str">
        <f t="shared" si="0"/>
        <v>Grounds Maintenance</v>
      </c>
      <c r="B27" s="200" t="s">
        <v>233</v>
      </c>
      <c r="C27" s="282">
        <v>8000</v>
      </c>
      <c r="D27" s="283"/>
      <c r="E27" s="232">
        <f t="shared" si="1"/>
        <v>0</v>
      </c>
      <c r="F27" s="284" t="s">
        <v>96</v>
      </c>
      <c r="G27" s="244">
        <f t="shared" si="2"/>
        <v>0</v>
      </c>
      <c r="H27" s="205">
        <v>10</v>
      </c>
      <c r="I27" s="208">
        <f t="shared" si="3"/>
        <v>1</v>
      </c>
      <c r="J27" s="225">
        <v>0</v>
      </c>
      <c r="K27" s="28"/>
    </row>
    <row r="28" spans="1:11" ht="11.25" hidden="1">
      <c r="A28" s="120" t="str">
        <f t="shared" si="0"/>
        <v>Grounds Maintenance</v>
      </c>
      <c r="B28" s="200" t="s">
        <v>234</v>
      </c>
      <c r="C28" s="282">
        <v>3500</v>
      </c>
      <c r="D28" s="283"/>
      <c r="E28" s="232">
        <f t="shared" si="1"/>
        <v>0</v>
      </c>
      <c r="F28" s="284" t="s">
        <v>96</v>
      </c>
      <c r="G28" s="244">
        <f t="shared" si="2"/>
        <v>0</v>
      </c>
      <c r="H28" s="205">
        <v>10</v>
      </c>
      <c r="I28" s="208">
        <f t="shared" si="3"/>
        <v>1</v>
      </c>
      <c r="J28" s="225">
        <v>0</v>
      </c>
      <c r="K28" s="28"/>
    </row>
    <row r="29" spans="1:11" ht="11.25" hidden="1">
      <c r="A29" s="120" t="str">
        <f t="shared" si="0"/>
        <v>Grounds Maintenance</v>
      </c>
      <c r="B29" s="200" t="s">
        <v>235</v>
      </c>
      <c r="C29" s="282">
        <v>300</v>
      </c>
      <c r="D29" s="283"/>
      <c r="E29" s="232">
        <f t="shared" si="1"/>
        <v>0</v>
      </c>
      <c r="F29" s="284" t="s">
        <v>96</v>
      </c>
      <c r="G29" s="244">
        <f t="shared" si="2"/>
        <v>0</v>
      </c>
      <c r="H29" s="205">
        <v>10</v>
      </c>
      <c r="I29" s="208">
        <f t="shared" si="3"/>
        <v>1</v>
      </c>
      <c r="J29" s="225">
        <v>0</v>
      </c>
      <c r="K29" s="28"/>
    </row>
    <row r="30" spans="1:11" ht="11.25" hidden="1">
      <c r="A30" s="120" t="str">
        <f t="shared" si="0"/>
        <v>Grounds Maintenance</v>
      </c>
      <c r="B30" s="200" t="s">
        <v>236</v>
      </c>
      <c r="C30" s="282">
        <v>300</v>
      </c>
      <c r="D30" s="283"/>
      <c r="E30" s="232">
        <f t="shared" si="1"/>
        <v>0</v>
      </c>
      <c r="F30" s="284" t="s">
        <v>96</v>
      </c>
      <c r="G30" s="244">
        <f t="shared" si="2"/>
        <v>0</v>
      </c>
      <c r="H30" s="205">
        <v>7</v>
      </c>
      <c r="I30" s="208">
        <f t="shared" si="3"/>
        <v>1.4285714285714286</v>
      </c>
      <c r="J30" s="225">
        <v>0</v>
      </c>
      <c r="K30" s="28"/>
    </row>
    <row r="31" spans="1:11" ht="11.25" hidden="1">
      <c r="A31" s="120" t="str">
        <f t="shared" si="0"/>
        <v>Grounds Maintenance</v>
      </c>
      <c r="B31" s="200" t="s">
        <v>237</v>
      </c>
      <c r="C31" s="282">
        <v>2000</v>
      </c>
      <c r="D31" s="283"/>
      <c r="E31" s="232">
        <f t="shared" si="1"/>
        <v>0</v>
      </c>
      <c r="F31" s="284" t="s">
        <v>96</v>
      </c>
      <c r="G31" s="244">
        <f t="shared" si="2"/>
        <v>0</v>
      </c>
      <c r="H31" s="205">
        <v>10</v>
      </c>
      <c r="I31" s="208">
        <f t="shared" si="3"/>
        <v>1</v>
      </c>
      <c r="J31" s="225">
        <v>0</v>
      </c>
      <c r="K31" s="28"/>
    </row>
    <row r="32" spans="1:11" ht="11.25" hidden="1">
      <c r="A32" s="120" t="str">
        <f t="shared" si="0"/>
        <v>Grounds Maintenance</v>
      </c>
      <c r="B32" s="200" t="s">
        <v>238</v>
      </c>
      <c r="C32" s="282">
        <v>200</v>
      </c>
      <c r="D32" s="283"/>
      <c r="E32" s="232">
        <f t="shared" si="1"/>
        <v>0</v>
      </c>
      <c r="F32" s="284" t="s">
        <v>96</v>
      </c>
      <c r="G32" s="244">
        <f t="shared" si="2"/>
        <v>0</v>
      </c>
      <c r="H32" s="205">
        <v>7</v>
      </c>
      <c r="I32" s="208">
        <f t="shared" si="3"/>
        <v>1.4285714285714286</v>
      </c>
      <c r="J32" s="225">
        <v>0</v>
      </c>
      <c r="K32" s="28"/>
    </row>
    <row r="33" spans="1:11" ht="11.25" hidden="1">
      <c r="A33" s="120" t="str">
        <f t="shared" si="0"/>
        <v>Grounds Maintenance</v>
      </c>
      <c r="B33" s="200" t="s">
        <v>239</v>
      </c>
      <c r="C33" s="282">
        <v>7000</v>
      </c>
      <c r="D33" s="283"/>
      <c r="E33" s="232">
        <f t="shared" si="1"/>
        <v>0</v>
      </c>
      <c r="F33" s="284" t="s">
        <v>96</v>
      </c>
      <c r="G33" s="244">
        <f t="shared" si="2"/>
        <v>0</v>
      </c>
      <c r="H33" s="205">
        <v>10</v>
      </c>
      <c r="I33" s="208">
        <f t="shared" si="3"/>
        <v>1</v>
      </c>
      <c r="J33" s="225">
        <v>0</v>
      </c>
      <c r="K33" s="28"/>
    </row>
    <row r="34" spans="1:11" ht="11.25" hidden="1">
      <c r="A34" s="120" t="str">
        <f t="shared" si="0"/>
        <v>Grounds Maintenance</v>
      </c>
      <c r="B34" s="200" t="s">
        <v>240</v>
      </c>
      <c r="C34" s="282">
        <v>2500</v>
      </c>
      <c r="D34" s="283"/>
      <c r="E34" s="232">
        <f t="shared" si="1"/>
        <v>0</v>
      </c>
      <c r="F34" s="284" t="s">
        <v>96</v>
      </c>
      <c r="G34" s="244">
        <f t="shared" si="2"/>
        <v>0</v>
      </c>
      <c r="H34" s="205">
        <v>10</v>
      </c>
      <c r="I34" s="208">
        <f t="shared" si="3"/>
        <v>1</v>
      </c>
      <c r="J34" s="225">
        <v>0</v>
      </c>
      <c r="K34" s="28"/>
    </row>
    <row r="35" spans="1:11" ht="11.25" hidden="1">
      <c r="A35" s="120" t="str">
        <f t="shared" si="0"/>
        <v>Grounds Maintenance</v>
      </c>
      <c r="B35" s="200" t="s">
        <v>241</v>
      </c>
      <c r="C35" s="282">
        <v>4000</v>
      </c>
      <c r="D35" s="283"/>
      <c r="E35" s="232">
        <f t="shared" si="1"/>
        <v>0</v>
      </c>
      <c r="F35" s="284" t="s">
        <v>96</v>
      </c>
      <c r="G35" s="244">
        <f t="shared" si="2"/>
        <v>0</v>
      </c>
      <c r="H35" s="205">
        <v>10</v>
      </c>
      <c r="I35" s="208">
        <f t="shared" si="3"/>
        <v>1</v>
      </c>
      <c r="J35" s="225">
        <v>0</v>
      </c>
      <c r="K35" s="28"/>
    </row>
    <row r="36" spans="1:11" ht="11.25" hidden="1">
      <c r="A36" s="120" t="str">
        <f t="shared" si="0"/>
        <v>Grounds Maintenance</v>
      </c>
      <c r="B36" s="200" t="s">
        <v>242</v>
      </c>
      <c r="C36" s="282">
        <v>8500</v>
      </c>
      <c r="D36" s="283"/>
      <c r="E36" s="232">
        <f t="shared" si="1"/>
        <v>0</v>
      </c>
      <c r="F36" s="284" t="s">
        <v>96</v>
      </c>
      <c r="G36" s="244">
        <f t="shared" si="2"/>
        <v>0</v>
      </c>
      <c r="H36" s="205">
        <v>10</v>
      </c>
      <c r="I36" s="208">
        <f t="shared" si="3"/>
        <v>1</v>
      </c>
      <c r="J36" s="225">
        <v>0</v>
      </c>
      <c r="K36" s="28"/>
    </row>
    <row r="37" spans="1:11" ht="11.25" hidden="1">
      <c r="A37" s="120" t="str">
        <f t="shared" si="0"/>
        <v>Grounds Maintenance</v>
      </c>
      <c r="B37" s="200" t="s">
        <v>243</v>
      </c>
      <c r="C37" s="282">
        <v>1200</v>
      </c>
      <c r="D37" s="283"/>
      <c r="E37" s="232">
        <f t="shared" si="1"/>
        <v>0</v>
      </c>
      <c r="F37" s="284" t="s">
        <v>96</v>
      </c>
      <c r="G37" s="244">
        <f t="shared" si="2"/>
        <v>0</v>
      </c>
      <c r="H37" s="205">
        <v>10</v>
      </c>
      <c r="I37" s="208">
        <f t="shared" si="3"/>
        <v>1</v>
      </c>
      <c r="J37" s="225">
        <v>0</v>
      </c>
      <c r="K37" s="28"/>
    </row>
    <row r="38" spans="1:11" ht="11.25" hidden="1">
      <c r="A38" s="120" t="str">
        <f t="shared" si="0"/>
        <v>Grounds Maintenance</v>
      </c>
      <c r="B38" s="200" t="s">
        <v>244</v>
      </c>
      <c r="C38" s="282">
        <v>1500</v>
      </c>
      <c r="D38" s="283"/>
      <c r="E38" s="232">
        <f t="shared" si="1"/>
        <v>0</v>
      </c>
      <c r="F38" s="284" t="s">
        <v>96</v>
      </c>
      <c r="G38" s="244">
        <f t="shared" si="2"/>
        <v>0</v>
      </c>
      <c r="H38" s="205">
        <v>10</v>
      </c>
      <c r="I38" s="208">
        <f t="shared" si="3"/>
        <v>1</v>
      </c>
      <c r="J38" s="225">
        <v>0</v>
      </c>
      <c r="K38" s="28"/>
    </row>
    <row r="39" spans="1:11" ht="11.25" hidden="1">
      <c r="A39" s="120" t="str">
        <f t="shared" si="0"/>
        <v>Grounds Maintenance</v>
      </c>
      <c r="B39" s="200" t="s">
        <v>245</v>
      </c>
      <c r="C39" s="282">
        <v>2500</v>
      </c>
      <c r="D39" s="283"/>
      <c r="E39" s="232">
        <f t="shared" si="1"/>
        <v>0</v>
      </c>
      <c r="F39" s="284" t="s">
        <v>96</v>
      </c>
      <c r="G39" s="244">
        <f t="shared" si="2"/>
        <v>0</v>
      </c>
      <c r="H39" s="205">
        <v>10</v>
      </c>
      <c r="I39" s="208">
        <f t="shared" si="3"/>
        <v>1</v>
      </c>
      <c r="J39" s="225">
        <v>0</v>
      </c>
      <c r="K39" s="28"/>
    </row>
    <row r="40" spans="1:11" ht="11.25" hidden="1">
      <c r="A40" s="120" t="str">
        <f t="shared" si="0"/>
        <v>Grounds Maintenance</v>
      </c>
      <c r="B40" s="200" t="s">
        <v>246</v>
      </c>
      <c r="C40" s="282">
        <v>12500</v>
      </c>
      <c r="D40" s="283"/>
      <c r="E40" s="232">
        <f t="shared" si="1"/>
        <v>0</v>
      </c>
      <c r="F40" s="284" t="s">
        <v>96</v>
      </c>
      <c r="G40" s="244">
        <f t="shared" si="2"/>
        <v>0</v>
      </c>
      <c r="H40" s="205">
        <v>20</v>
      </c>
      <c r="I40" s="208">
        <f t="shared" si="3"/>
        <v>0.5</v>
      </c>
      <c r="J40" s="225">
        <v>0</v>
      </c>
      <c r="K40" s="28"/>
    </row>
    <row r="41" spans="1:11" ht="11.25" hidden="1">
      <c r="A41" s="120" t="str">
        <f t="shared" si="0"/>
        <v>Grounds Maintenance</v>
      </c>
      <c r="B41" s="200" t="s">
        <v>247</v>
      </c>
      <c r="C41" s="282">
        <v>50</v>
      </c>
      <c r="D41" s="283"/>
      <c r="E41" s="232">
        <f t="shared" si="1"/>
        <v>0</v>
      </c>
      <c r="F41" s="284" t="s">
        <v>96</v>
      </c>
      <c r="G41" s="244">
        <f t="shared" si="2"/>
        <v>0</v>
      </c>
      <c r="H41" s="205">
        <v>7</v>
      </c>
      <c r="I41" s="208">
        <f t="shared" si="3"/>
        <v>1.4285714285714286</v>
      </c>
      <c r="J41" s="225">
        <v>0</v>
      </c>
      <c r="K41" s="28"/>
    </row>
    <row r="42" spans="1:11" ht="11.25" hidden="1">
      <c r="A42" s="120" t="str">
        <f>A43</f>
        <v>Grounds Maintenance</v>
      </c>
      <c r="B42" s="200" t="s">
        <v>247</v>
      </c>
      <c r="C42" s="282">
        <v>100</v>
      </c>
      <c r="D42" s="283"/>
      <c r="E42" s="232">
        <f t="shared" si="1"/>
        <v>0</v>
      </c>
      <c r="F42" s="284" t="s">
        <v>96</v>
      </c>
      <c r="G42" s="244">
        <f t="shared" si="2"/>
        <v>0</v>
      </c>
      <c r="H42" s="205">
        <v>7</v>
      </c>
      <c r="I42" s="208">
        <f t="shared" si="3"/>
        <v>1.4285714285714286</v>
      </c>
      <c r="J42" s="225">
        <v>0</v>
      </c>
      <c r="K42" s="28"/>
    </row>
    <row r="43" spans="1:10" ht="11.25" hidden="1">
      <c r="A43" s="120" t="str">
        <f>B43</f>
        <v>Grounds Maintenance</v>
      </c>
      <c r="B43" s="209" t="s">
        <v>9</v>
      </c>
      <c r="C43" s="240"/>
      <c r="D43" s="210"/>
      <c r="E43" s="233">
        <f>SUM(E18:E42)</f>
        <v>0</v>
      </c>
      <c r="F43" s="211"/>
      <c r="G43" s="233">
        <f>SUM(G18:G42)</f>
        <v>0</v>
      </c>
      <c r="H43" s="205"/>
      <c r="I43" s="208"/>
      <c r="J43" s="227">
        <f>SUM(J18:J42)</f>
        <v>0</v>
      </c>
    </row>
    <row r="44" spans="1:10" ht="11.25">
      <c r="A44" s="120"/>
      <c r="B44" s="200"/>
      <c r="C44" s="240"/>
      <c r="D44" s="207"/>
      <c r="E44" s="232"/>
      <c r="F44" s="128"/>
      <c r="G44" s="232"/>
      <c r="H44" s="205"/>
      <c r="I44" s="205"/>
      <c r="J44" s="248"/>
    </row>
    <row r="45" spans="1:10" ht="11.25" hidden="1">
      <c r="A45" s="120" t="s">
        <v>204</v>
      </c>
      <c r="B45" s="200" t="s">
        <v>125</v>
      </c>
      <c r="C45" s="239">
        <v>4083</v>
      </c>
      <c r="D45" s="206"/>
      <c r="E45" s="232">
        <f aca="true" t="shared" si="4" ref="E45:E54">C45*D45</f>
        <v>0</v>
      </c>
      <c r="F45" s="127" t="s">
        <v>96</v>
      </c>
      <c r="G45" s="244">
        <f aca="true" t="shared" si="5" ref="G45:G54">IF(F45="Yes",E45,0)</f>
        <v>0</v>
      </c>
      <c r="H45" s="205">
        <v>5</v>
      </c>
      <c r="I45" s="208">
        <f aca="true" t="shared" si="6" ref="I45:I54">$I$3/H45</f>
        <v>2</v>
      </c>
      <c r="J45" s="225">
        <f aca="true" t="shared" si="7" ref="J45:J54">E45*I45</f>
        <v>0</v>
      </c>
    </row>
    <row r="46" spans="1:10" ht="11.25" hidden="1">
      <c r="A46" s="120" t="s">
        <v>204</v>
      </c>
      <c r="B46" s="200" t="s">
        <v>126</v>
      </c>
      <c r="C46" s="239">
        <v>3377</v>
      </c>
      <c r="D46" s="206"/>
      <c r="E46" s="232">
        <f t="shared" si="4"/>
        <v>0</v>
      </c>
      <c r="F46" s="127" t="s">
        <v>96</v>
      </c>
      <c r="G46" s="244">
        <f t="shared" si="5"/>
        <v>0</v>
      </c>
      <c r="H46" s="205">
        <v>5</v>
      </c>
      <c r="I46" s="208">
        <f t="shared" si="6"/>
        <v>2</v>
      </c>
      <c r="J46" s="225">
        <f t="shared" si="7"/>
        <v>0</v>
      </c>
    </row>
    <row r="47" spans="1:10" ht="11.25" hidden="1">
      <c r="A47" s="120" t="s">
        <v>204</v>
      </c>
      <c r="B47" s="200" t="s">
        <v>127</v>
      </c>
      <c r="C47" s="239">
        <v>3353</v>
      </c>
      <c r="D47" s="206"/>
      <c r="E47" s="232">
        <f t="shared" si="4"/>
        <v>0</v>
      </c>
      <c r="F47" s="127" t="s">
        <v>96</v>
      </c>
      <c r="G47" s="244">
        <f t="shared" si="5"/>
        <v>0</v>
      </c>
      <c r="H47" s="205">
        <v>5</v>
      </c>
      <c r="I47" s="208">
        <f t="shared" si="6"/>
        <v>2</v>
      </c>
      <c r="J47" s="225">
        <f t="shared" si="7"/>
        <v>0</v>
      </c>
    </row>
    <row r="48" spans="1:10" ht="11.25" hidden="1">
      <c r="A48" s="120" t="s">
        <v>204</v>
      </c>
      <c r="B48" s="200" t="s">
        <v>128</v>
      </c>
      <c r="C48" s="239">
        <v>2308</v>
      </c>
      <c r="D48" s="206"/>
      <c r="E48" s="232">
        <f t="shared" si="4"/>
        <v>0</v>
      </c>
      <c r="F48" s="127" t="s">
        <v>96</v>
      </c>
      <c r="G48" s="244">
        <f t="shared" si="5"/>
        <v>0</v>
      </c>
      <c r="H48" s="205">
        <v>5</v>
      </c>
      <c r="I48" s="208">
        <f t="shared" si="6"/>
        <v>2</v>
      </c>
      <c r="J48" s="225">
        <f t="shared" si="7"/>
        <v>0</v>
      </c>
    </row>
    <row r="49" spans="1:10" ht="11.25" hidden="1">
      <c r="A49" s="120" t="s">
        <v>204</v>
      </c>
      <c r="B49" s="200" t="s">
        <v>129</v>
      </c>
      <c r="C49" s="239">
        <v>1650</v>
      </c>
      <c r="D49" s="206"/>
      <c r="E49" s="232">
        <f t="shared" si="4"/>
        <v>0</v>
      </c>
      <c r="F49" s="127" t="s">
        <v>96</v>
      </c>
      <c r="G49" s="244">
        <f t="shared" si="5"/>
        <v>0</v>
      </c>
      <c r="H49" s="205">
        <v>5</v>
      </c>
      <c r="I49" s="208">
        <f t="shared" si="6"/>
        <v>2</v>
      </c>
      <c r="J49" s="225">
        <f t="shared" si="7"/>
        <v>0</v>
      </c>
    </row>
    <row r="50" spans="1:10" ht="11.25" hidden="1">
      <c r="A50" s="120" t="s">
        <v>204</v>
      </c>
      <c r="B50" s="200" t="s">
        <v>130</v>
      </c>
      <c r="C50" s="239">
        <v>2488</v>
      </c>
      <c r="D50" s="206"/>
      <c r="E50" s="232">
        <f t="shared" si="4"/>
        <v>0</v>
      </c>
      <c r="F50" s="127" t="s">
        <v>96</v>
      </c>
      <c r="G50" s="244">
        <f t="shared" si="5"/>
        <v>0</v>
      </c>
      <c r="H50" s="205">
        <v>5</v>
      </c>
      <c r="I50" s="208">
        <f t="shared" si="6"/>
        <v>2</v>
      </c>
      <c r="J50" s="225">
        <f t="shared" si="7"/>
        <v>0</v>
      </c>
    </row>
    <row r="51" spans="1:10" ht="11.25" hidden="1">
      <c r="A51" s="120" t="s">
        <v>204</v>
      </c>
      <c r="B51" s="200" t="s">
        <v>131</v>
      </c>
      <c r="C51" s="239">
        <v>1830</v>
      </c>
      <c r="D51" s="206"/>
      <c r="E51" s="232">
        <f t="shared" si="4"/>
        <v>0</v>
      </c>
      <c r="F51" s="127" t="s">
        <v>96</v>
      </c>
      <c r="G51" s="244">
        <f t="shared" si="5"/>
        <v>0</v>
      </c>
      <c r="H51" s="205">
        <v>5</v>
      </c>
      <c r="I51" s="208">
        <f t="shared" si="6"/>
        <v>2</v>
      </c>
      <c r="J51" s="225">
        <f t="shared" si="7"/>
        <v>0</v>
      </c>
    </row>
    <row r="52" spans="1:10" ht="11.25" hidden="1">
      <c r="A52" s="120" t="s">
        <v>204</v>
      </c>
      <c r="B52" s="200" t="s">
        <v>132</v>
      </c>
      <c r="C52" s="239">
        <v>2152</v>
      </c>
      <c r="D52" s="206"/>
      <c r="E52" s="232">
        <f t="shared" si="4"/>
        <v>0</v>
      </c>
      <c r="F52" s="127" t="s">
        <v>96</v>
      </c>
      <c r="G52" s="244">
        <f t="shared" si="5"/>
        <v>0</v>
      </c>
      <c r="H52" s="205">
        <v>5</v>
      </c>
      <c r="I52" s="208">
        <f t="shared" si="6"/>
        <v>2</v>
      </c>
      <c r="J52" s="225">
        <f t="shared" si="7"/>
        <v>0</v>
      </c>
    </row>
    <row r="53" spans="1:10" ht="11.25" hidden="1">
      <c r="A53" s="120" t="s">
        <v>204</v>
      </c>
      <c r="B53" s="200" t="s">
        <v>133</v>
      </c>
      <c r="C53" s="239">
        <v>1095</v>
      </c>
      <c r="D53" s="206"/>
      <c r="E53" s="232">
        <f t="shared" si="4"/>
        <v>0</v>
      </c>
      <c r="F53" s="127" t="s">
        <v>96</v>
      </c>
      <c r="G53" s="244">
        <f t="shared" si="5"/>
        <v>0</v>
      </c>
      <c r="H53" s="205">
        <v>5</v>
      </c>
      <c r="I53" s="208">
        <f t="shared" si="6"/>
        <v>2</v>
      </c>
      <c r="J53" s="225">
        <f t="shared" si="7"/>
        <v>0</v>
      </c>
    </row>
    <row r="54" spans="1:10" ht="11.25" hidden="1">
      <c r="A54" s="120" t="s">
        <v>204</v>
      </c>
      <c r="B54" s="200" t="s">
        <v>135</v>
      </c>
      <c r="C54" s="239">
        <v>5995</v>
      </c>
      <c r="D54" s="206"/>
      <c r="E54" s="232">
        <f t="shared" si="4"/>
        <v>0</v>
      </c>
      <c r="F54" s="127" t="s">
        <v>96</v>
      </c>
      <c r="G54" s="244">
        <f t="shared" si="5"/>
        <v>0</v>
      </c>
      <c r="H54" s="205">
        <v>5</v>
      </c>
      <c r="I54" s="208">
        <f t="shared" si="6"/>
        <v>2</v>
      </c>
      <c r="J54" s="225">
        <f t="shared" si="7"/>
        <v>0</v>
      </c>
    </row>
    <row r="55" spans="1:10" ht="11.25" hidden="1">
      <c r="A55" s="120" t="s">
        <v>204</v>
      </c>
      <c r="B55" s="209" t="s">
        <v>211</v>
      </c>
      <c r="C55" s="240"/>
      <c r="D55" s="210">
        <f>SUM(D45:D54)</f>
        <v>0</v>
      </c>
      <c r="E55" s="233">
        <f>SUM(E45:E54)</f>
        <v>0</v>
      </c>
      <c r="F55" s="211"/>
      <c r="G55" s="233">
        <f>SUM(G45:G54)</f>
        <v>0</v>
      </c>
      <c r="H55" s="205"/>
      <c r="I55" s="205"/>
      <c r="J55" s="227">
        <f>SUM(J45:J54)</f>
        <v>0</v>
      </c>
    </row>
    <row r="56" spans="1:10" ht="11.25" hidden="1">
      <c r="A56" s="120"/>
      <c r="B56" s="200"/>
      <c r="C56" s="240"/>
      <c r="D56" s="207"/>
      <c r="E56" s="232"/>
      <c r="F56" s="128"/>
      <c r="G56" s="232"/>
      <c r="H56" s="205"/>
      <c r="I56" s="205"/>
      <c r="J56" s="248"/>
    </row>
    <row r="57" spans="1:10" ht="11.25" hidden="1">
      <c r="A57" s="120" t="s">
        <v>205</v>
      </c>
      <c r="B57" s="200" t="s">
        <v>136</v>
      </c>
      <c r="C57" s="239">
        <v>2744</v>
      </c>
      <c r="D57" s="206"/>
      <c r="E57" s="232">
        <f aca="true" t="shared" si="8" ref="E57:E65">C57*D57</f>
        <v>0</v>
      </c>
      <c r="F57" s="212" t="s">
        <v>96</v>
      </c>
      <c r="G57" s="244">
        <f aca="true" t="shared" si="9" ref="G57:G65">IF(F57="Yes",E57,0)</f>
        <v>0</v>
      </c>
      <c r="H57" s="205">
        <v>7</v>
      </c>
      <c r="I57" s="208">
        <f aca="true" t="shared" si="10" ref="I57:I82">$I$3/H57</f>
        <v>1.4285714285714286</v>
      </c>
      <c r="J57" s="225">
        <f aca="true" t="shared" si="11" ref="J57:J65">E57*I57</f>
        <v>0</v>
      </c>
    </row>
    <row r="58" spans="1:10" ht="11.25" hidden="1">
      <c r="A58" s="120" t="s">
        <v>205</v>
      </c>
      <c r="B58" s="200" t="s">
        <v>137</v>
      </c>
      <c r="C58" s="239">
        <v>2611</v>
      </c>
      <c r="D58" s="206"/>
      <c r="E58" s="232">
        <f t="shared" si="8"/>
        <v>0</v>
      </c>
      <c r="F58" s="212" t="s">
        <v>96</v>
      </c>
      <c r="G58" s="244">
        <f t="shared" si="9"/>
        <v>0</v>
      </c>
      <c r="H58" s="205">
        <v>7</v>
      </c>
      <c r="I58" s="208">
        <f t="shared" si="10"/>
        <v>1.4285714285714286</v>
      </c>
      <c r="J58" s="225">
        <f t="shared" si="11"/>
        <v>0</v>
      </c>
    </row>
    <row r="59" spans="1:10" ht="11.25" hidden="1">
      <c r="A59" s="120" t="s">
        <v>205</v>
      </c>
      <c r="B59" s="200" t="s">
        <v>138</v>
      </c>
      <c r="C59" s="239">
        <v>1660</v>
      </c>
      <c r="D59" s="206"/>
      <c r="E59" s="232">
        <f t="shared" si="8"/>
        <v>0</v>
      </c>
      <c r="F59" s="212" t="s">
        <v>96</v>
      </c>
      <c r="G59" s="244">
        <f t="shared" si="9"/>
        <v>0</v>
      </c>
      <c r="H59" s="205">
        <v>7</v>
      </c>
      <c r="I59" s="208">
        <f t="shared" si="10"/>
        <v>1.4285714285714286</v>
      </c>
      <c r="J59" s="225">
        <f t="shared" si="11"/>
        <v>0</v>
      </c>
    </row>
    <row r="60" spans="1:10" ht="11.25" hidden="1">
      <c r="A60" s="120" t="s">
        <v>205</v>
      </c>
      <c r="B60" s="200" t="s">
        <v>139</v>
      </c>
      <c r="C60" s="239">
        <v>1660</v>
      </c>
      <c r="D60" s="206"/>
      <c r="E60" s="232">
        <f t="shared" si="8"/>
        <v>0</v>
      </c>
      <c r="F60" s="212" t="s">
        <v>96</v>
      </c>
      <c r="G60" s="244">
        <f t="shared" si="9"/>
        <v>0</v>
      </c>
      <c r="H60" s="205">
        <v>7</v>
      </c>
      <c r="I60" s="208">
        <f t="shared" si="10"/>
        <v>1.4285714285714286</v>
      </c>
      <c r="J60" s="225">
        <f t="shared" si="11"/>
        <v>0</v>
      </c>
    </row>
    <row r="61" spans="1:10" ht="11.25" hidden="1">
      <c r="A61" s="120" t="s">
        <v>205</v>
      </c>
      <c r="B61" s="200" t="s">
        <v>140</v>
      </c>
      <c r="C61" s="239">
        <v>1660</v>
      </c>
      <c r="D61" s="206"/>
      <c r="E61" s="232">
        <f t="shared" si="8"/>
        <v>0</v>
      </c>
      <c r="F61" s="212" t="s">
        <v>96</v>
      </c>
      <c r="G61" s="244">
        <f t="shared" si="9"/>
        <v>0</v>
      </c>
      <c r="H61" s="205">
        <v>7</v>
      </c>
      <c r="I61" s="208">
        <f t="shared" si="10"/>
        <v>1.4285714285714286</v>
      </c>
      <c r="J61" s="225">
        <f t="shared" si="11"/>
        <v>0</v>
      </c>
    </row>
    <row r="62" spans="1:10" ht="11.25" hidden="1">
      <c r="A62" s="120" t="s">
        <v>205</v>
      </c>
      <c r="B62" s="200" t="s">
        <v>141</v>
      </c>
      <c r="C62" s="239">
        <v>1660</v>
      </c>
      <c r="D62" s="206"/>
      <c r="E62" s="232">
        <f t="shared" si="8"/>
        <v>0</v>
      </c>
      <c r="F62" s="212" t="s">
        <v>96</v>
      </c>
      <c r="G62" s="244">
        <f t="shared" si="9"/>
        <v>0</v>
      </c>
      <c r="H62" s="205">
        <v>7</v>
      </c>
      <c r="I62" s="208">
        <f t="shared" si="10"/>
        <v>1.4285714285714286</v>
      </c>
      <c r="J62" s="225">
        <f t="shared" si="11"/>
        <v>0</v>
      </c>
    </row>
    <row r="63" spans="1:10" ht="11.25" hidden="1">
      <c r="A63" s="120" t="s">
        <v>205</v>
      </c>
      <c r="B63" s="200" t="s">
        <v>142</v>
      </c>
      <c r="C63" s="239">
        <v>2464</v>
      </c>
      <c r="D63" s="206"/>
      <c r="E63" s="232">
        <f t="shared" si="8"/>
        <v>0</v>
      </c>
      <c r="F63" s="212" t="s">
        <v>96</v>
      </c>
      <c r="G63" s="244">
        <f t="shared" si="9"/>
        <v>0</v>
      </c>
      <c r="H63" s="205">
        <v>7</v>
      </c>
      <c r="I63" s="208">
        <f t="shared" si="10"/>
        <v>1.4285714285714286</v>
      </c>
      <c r="J63" s="225">
        <f t="shared" si="11"/>
        <v>0</v>
      </c>
    </row>
    <row r="64" spans="1:10" ht="11.25" hidden="1">
      <c r="A64" s="120" t="s">
        <v>205</v>
      </c>
      <c r="B64" s="200" t="s">
        <v>145</v>
      </c>
      <c r="C64" s="239">
        <v>2851</v>
      </c>
      <c r="D64" s="206"/>
      <c r="E64" s="232">
        <f t="shared" si="8"/>
        <v>0</v>
      </c>
      <c r="F64" s="212" t="s">
        <v>96</v>
      </c>
      <c r="G64" s="244">
        <f t="shared" si="9"/>
        <v>0</v>
      </c>
      <c r="H64" s="205">
        <v>7</v>
      </c>
      <c r="I64" s="208">
        <f t="shared" si="10"/>
        <v>1.4285714285714286</v>
      </c>
      <c r="J64" s="225">
        <f>E64*I64</f>
        <v>0</v>
      </c>
    </row>
    <row r="65" spans="1:10" ht="11.25" hidden="1">
      <c r="A65" s="120" t="s">
        <v>205</v>
      </c>
      <c r="B65" s="200" t="s">
        <v>143</v>
      </c>
      <c r="C65" s="239">
        <v>1604</v>
      </c>
      <c r="D65" s="206"/>
      <c r="E65" s="232">
        <f t="shared" si="8"/>
        <v>0</v>
      </c>
      <c r="F65" s="212" t="s">
        <v>96</v>
      </c>
      <c r="G65" s="244">
        <f t="shared" si="9"/>
        <v>0</v>
      </c>
      <c r="H65" s="205">
        <v>7</v>
      </c>
      <c r="I65" s="208">
        <f t="shared" si="10"/>
        <v>1.4285714285714286</v>
      </c>
      <c r="J65" s="225">
        <f t="shared" si="11"/>
        <v>0</v>
      </c>
    </row>
    <row r="66" spans="1:10" ht="11.25" hidden="1">
      <c r="A66" s="120"/>
      <c r="B66" s="209" t="s">
        <v>212</v>
      </c>
      <c r="C66" s="240"/>
      <c r="D66" s="210">
        <f>SUM(D57:D65)</f>
        <v>0</v>
      </c>
      <c r="E66" s="233">
        <f>SUM(E57:E65)</f>
        <v>0</v>
      </c>
      <c r="F66" s="213"/>
      <c r="G66" s="245">
        <f>SUM(G57:G65)</f>
        <v>0</v>
      </c>
      <c r="H66" s="205"/>
      <c r="I66" s="208"/>
      <c r="J66" s="249">
        <f>SUM(J57:J65)</f>
        <v>0</v>
      </c>
    </row>
    <row r="67" spans="1:10" ht="12" hidden="1" thickBot="1">
      <c r="A67" s="120"/>
      <c r="B67" s="209"/>
      <c r="C67" s="240"/>
      <c r="D67" s="215"/>
      <c r="E67" s="232"/>
      <c r="F67" s="216"/>
      <c r="G67" s="232"/>
      <c r="H67" s="205"/>
      <c r="I67" s="208"/>
      <c r="J67" s="225"/>
    </row>
    <row r="68" spans="1:10" ht="12" hidden="1" thickBot="1">
      <c r="A68" s="120"/>
      <c r="B68" s="217" t="s">
        <v>213</v>
      </c>
      <c r="C68" s="241"/>
      <c r="D68" s="218">
        <f>D66+D55</f>
        <v>0</v>
      </c>
      <c r="E68" s="234"/>
      <c r="F68" s="219"/>
      <c r="G68" s="246"/>
      <c r="H68" s="205"/>
      <c r="I68" s="208"/>
      <c r="J68" s="225"/>
    </row>
    <row r="69" spans="1:10" ht="11.25" hidden="1">
      <c r="A69" s="120"/>
      <c r="B69" s="209"/>
      <c r="C69" s="240"/>
      <c r="D69" s="214"/>
      <c r="E69" s="232"/>
      <c r="F69" s="220"/>
      <c r="G69" s="232"/>
      <c r="H69" s="205"/>
      <c r="I69" s="208"/>
      <c r="J69" s="225"/>
    </row>
    <row r="70" spans="1:10" ht="11.25" hidden="1">
      <c r="A70" s="120" t="s">
        <v>206</v>
      </c>
      <c r="B70" s="200" t="s">
        <v>144</v>
      </c>
      <c r="C70" s="239">
        <v>684</v>
      </c>
      <c r="D70" s="206"/>
      <c r="E70" s="232">
        <f aca="true" t="shared" si="12" ref="E70:E82">C70*D70</f>
        <v>0</v>
      </c>
      <c r="F70" s="212" t="s">
        <v>96</v>
      </c>
      <c r="G70" s="244">
        <f aca="true" t="shared" si="13" ref="G70:G82">IF(F70="Yes",E70,0)</f>
        <v>0</v>
      </c>
      <c r="H70" s="205">
        <v>7</v>
      </c>
      <c r="I70" s="208">
        <f t="shared" si="10"/>
        <v>1.4285714285714286</v>
      </c>
      <c r="J70" s="225">
        <f>E70*I70</f>
        <v>0</v>
      </c>
    </row>
    <row r="71" spans="1:10" ht="11.25" hidden="1">
      <c r="A71" s="120" t="s">
        <v>206</v>
      </c>
      <c r="B71" s="200" t="s">
        <v>146</v>
      </c>
      <c r="C71" s="239">
        <v>1913</v>
      </c>
      <c r="D71" s="206"/>
      <c r="E71" s="232">
        <f t="shared" si="12"/>
        <v>0</v>
      </c>
      <c r="F71" s="212" t="s">
        <v>96</v>
      </c>
      <c r="G71" s="244">
        <f t="shared" si="13"/>
        <v>0</v>
      </c>
      <c r="H71" s="205">
        <v>7</v>
      </c>
      <c r="I71" s="208">
        <f t="shared" si="10"/>
        <v>1.4285714285714286</v>
      </c>
      <c r="J71" s="225">
        <f>E71*I71</f>
        <v>0</v>
      </c>
    </row>
    <row r="72" spans="1:10" ht="11.25" hidden="1">
      <c r="A72" s="120" t="s">
        <v>206</v>
      </c>
      <c r="B72" s="200" t="s">
        <v>147</v>
      </c>
      <c r="C72" s="239">
        <v>4400</v>
      </c>
      <c r="D72" s="206"/>
      <c r="E72" s="232">
        <f t="shared" si="12"/>
        <v>0</v>
      </c>
      <c r="F72" s="212" t="s">
        <v>96</v>
      </c>
      <c r="G72" s="244">
        <f t="shared" si="13"/>
        <v>0</v>
      </c>
      <c r="H72" s="205">
        <v>7</v>
      </c>
      <c r="I72" s="208">
        <f t="shared" si="10"/>
        <v>1.4285714285714286</v>
      </c>
      <c r="J72" s="225">
        <f>E72*I72</f>
        <v>0</v>
      </c>
    </row>
    <row r="73" spans="1:10" ht="11.25" hidden="1">
      <c r="A73" s="120" t="s">
        <v>206</v>
      </c>
      <c r="B73" s="200" t="s">
        <v>148</v>
      </c>
      <c r="C73" s="239">
        <v>700</v>
      </c>
      <c r="D73" s="206"/>
      <c r="E73" s="232">
        <f t="shared" si="12"/>
        <v>0</v>
      </c>
      <c r="F73" s="212" t="s">
        <v>96</v>
      </c>
      <c r="G73" s="244">
        <f t="shared" si="13"/>
        <v>0</v>
      </c>
      <c r="H73" s="205">
        <v>7</v>
      </c>
      <c r="I73" s="208">
        <f t="shared" si="10"/>
        <v>1.4285714285714286</v>
      </c>
      <c r="J73" s="225">
        <f>E73*I73</f>
        <v>0</v>
      </c>
    </row>
    <row r="74" spans="1:10" ht="11.25" hidden="1">
      <c r="A74" s="120" t="s">
        <v>206</v>
      </c>
      <c r="B74" s="200" t="s">
        <v>149</v>
      </c>
      <c r="C74" s="239">
        <v>88</v>
      </c>
      <c r="D74" s="206"/>
      <c r="E74" s="232">
        <f t="shared" si="12"/>
        <v>0</v>
      </c>
      <c r="F74" s="212" t="s">
        <v>96</v>
      </c>
      <c r="G74" s="244">
        <f t="shared" si="13"/>
        <v>0</v>
      </c>
      <c r="H74" s="205">
        <v>7</v>
      </c>
      <c r="I74" s="208">
        <f t="shared" si="10"/>
        <v>1.4285714285714286</v>
      </c>
      <c r="J74" s="225">
        <f>E74*I74</f>
        <v>0</v>
      </c>
    </row>
    <row r="75" spans="1:10" ht="11.25" hidden="1">
      <c r="A75" s="120" t="s">
        <v>206</v>
      </c>
      <c r="B75" s="200" t="s">
        <v>150</v>
      </c>
      <c r="C75" s="239">
        <v>45000</v>
      </c>
      <c r="D75" s="206"/>
      <c r="E75" s="232">
        <f t="shared" si="12"/>
        <v>0</v>
      </c>
      <c r="F75" s="212" t="s">
        <v>96</v>
      </c>
      <c r="G75" s="244">
        <f t="shared" si="13"/>
        <v>0</v>
      </c>
      <c r="H75" s="205">
        <v>11</v>
      </c>
      <c r="I75" s="208">
        <f t="shared" si="10"/>
        <v>0.9090909090909091</v>
      </c>
      <c r="J75" s="225">
        <f aca="true" t="shared" si="14" ref="J75:J82">E75*I75</f>
        <v>0</v>
      </c>
    </row>
    <row r="76" spans="1:10" ht="11.25" hidden="1">
      <c r="A76" s="120" t="s">
        <v>206</v>
      </c>
      <c r="B76" s="200" t="s">
        <v>134</v>
      </c>
      <c r="C76" s="239">
        <v>750</v>
      </c>
      <c r="D76" s="206"/>
      <c r="E76" s="232">
        <f t="shared" si="12"/>
        <v>0</v>
      </c>
      <c r="F76" s="212" t="s">
        <v>96</v>
      </c>
      <c r="G76" s="244">
        <f t="shared" si="13"/>
        <v>0</v>
      </c>
      <c r="H76" s="205">
        <v>5</v>
      </c>
      <c r="I76" s="208">
        <f>$I$3/H76</f>
        <v>2</v>
      </c>
      <c r="J76" s="225">
        <f t="shared" si="14"/>
        <v>0</v>
      </c>
    </row>
    <row r="77" spans="1:10" ht="11.25" hidden="1">
      <c r="A77" s="120" t="s">
        <v>206</v>
      </c>
      <c r="B77" s="200" t="s">
        <v>151</v>
      </c>
      <c r="C77" s="239">
        <v>600</v>
      </c>
      <c r="D77" s="206"/>
      <c r="E77" s="232">
        <f t="shared" si="12"/>
        <v>0</v>
      </c>
      <c r="F77" s="212" t="s">
        <v>96</v>
      </c>
      <c r="G77" s="244">
        <f t="shared" si="13"/>
        <v>0</v>
      </c>
      <c r="H77" s="205">
        <v>11</v>
      </c>
      <c r="I77" s="208">
        <f t="shared" si="10"/>
        <v>0.9090909090909091</v>
      </c>
      <c r="J77" s="225">
        <f t="shared" si="14"/>
        <v>0</v>
      </c>
    </row>
    <row r="78" spans="1:10" ht="11.25" hidden="1">
      <c r="A78" s="120" t="s">
        <v>206</v>
      </c>
      <c r="B78" s="200" t="s">
        <v>152</v>
      </c>
      <c r="C78" s="239">
        <v>300</v>
      </c>
      <c r="D78" s="206"/>
      <c r="E78" s="232">
        <f t="shared" si="12"/>
        <v>0</v>
      </c>
      <c r="F78" s="212" t="s">
        <v>96</v>
      </c>
      <c r="G78" s="244">
        <f t="shared" si="13"/>
        <v>0</v>
      </c>
      <c r="H78" s="205">
        <v>11</v>
      </c>
      <c r="I78" s="208">
        <f t="shared" si="10"/>
        <v>0.9090909090909091</v>
      </c>
      <c r="J78" s="225">
        <f t="shared" si="14"/>
        <v>0</v>
      </c>
    </row>
    <row r="79" spans="1:10" ht="11.25" hidden="1">
      <c r="A79" s="120" t="s">
        <v>206</v>
      </c>
      <c r="B79" s="200" t="s">
        <v>153</v>
      </c>
      <c r="C79" s="239">
        <v>3000</v>
      </c>
      <c r="D79" s="206"/>
      <c r="E79" s="232">
        <f t="shared" si="12"/>
        <v>0</v>
      </c>
      <c r="F79" s="212" t="s">
        <v>96</v>
      </c>
      <c r="G79" s="244">
        <f t="shared" si="13"/>
        <v>0</v>
      </c>
      <c r="H79" s="205">
        <v>11</v>
      </c>
      <c r="I79" s="208">
        <f t="shared" si="10"/>
        <v>0.9090909090909091</v>
      </c>
      <c r="J79" s="225">
        <f t="shared" si="14"/>
        <v>0</v>
      </c>
    </row>
    <row r="80" spans="1:10" ht="11.25" hidden="1">
      <c r="A80" s="120" t="s">
        <v>206</v>
      </c>
      <c r="B80" s="200" t="s">
        <v>154</v>
      </c>
      <c r="C80" s="239">
        <v>2000</v>
      </c>
      <c r="D80" s="206"/>
      <c r="E80" s="232">
        <f t="shared" si="12"/>
        <v>0</v>
      </c>
      <c r="F80" s="212" t="s">
        <v>96</v>
      </c>
      <c r="G80" s="244">
        <f t="shared" si="13"/>
        <v>0</v>
      </c>
      <c r="H80" s="205">
        <v>8</v>
      </c>
      <c r="I80" s="208">
        <f t="shared" si="10"/>
        <v>1.25</v>
      </c>
      <c r="J80" s="225">
        <f t="shared" si="14"/>
        <v>0</v>
      </c>
    </row>
    <row r="81" spans="1:10" ht="11.25" hidden="1">
      <c r="A81" s="120" t="s">
        <v>206</v>
      </c>
      <c r="B81" s="200" t="s">
        <v>155</v>
      </c>
      <c r="C81" s="239">
        <v>1000</v>
      </c>
      <c r="D81" s="206"/>
      <c r="E81" s="232">
        <f t="shared" si="12"/>
        <v>0</v>
      </c>
      <c r="F81" s="212" t="s">
        <v>96</v>
      </c>
      <c r="G81" s="244">
        <f t="shared" si="13"/>
        <v>0</v>
      </c>
      <c r="H81" s="205">
        <v>8</v>
      </c>
      <c r="I81" s="208">
        <f t="shared" si="10"/>
        <v>1.25</v>
      </c>
      <c r="J81" s="225">
        <f t="shared" si="14"/>
        <v>0</v>
      </c>
    </row>
    <row r="82" spans="1:10" ht="11.25" hidden="1">
      <c r="A82" s="120" t="s">
        <v>206</v>
      </c>
      <c r="B82" s="200" t="s">
        <v>156</v>
      </c>
      <c r="C82" s="239">
        <v>4000</v>
      </c>
      <c r="D82" s="206"/>
      <c r="E82" s="232">
        <f t="shared" si="12"/>
        <v>0</v>
      </c>
      <c r="F82" s="212" t="s">
        <v>96</v>
      </c>
      <c r="G82" s="244">
        <f t="shared" si="13"/>
        <v>0</v>
      </c>
      <c r="H82" s="205">
        <v>8</v>
      </c>
      <c r="I82" s="208">
        <f t="shared" si="10"/>
        <v>1.25</v>
      </c>
      <c r="J82" s="225">
        <f t="shared" si="14"/>
        <v>0</v>
      </c>
    </row>
    <row r="83" spans="1:10" ht="11.25" hidden="1">
      <c r="A83" s="120" t="s">
        <v>206</v>
      </c>
      <c r="B83" s="209" t="s">
        <v>214</v>
      </c>
      <c r="C83" s="240"/>
      <c r="D83" s="210"/>
      <c r="E83" s="233">
        <f>SUM(E70:E82)</f>
        <v>0</v>
      </c>
      <c r="F83" s="211"/>
      <c r="G83" s="233">
        <f>SUM(G70:G82)</f>
        <v>0</v>
      </c>
      <c r="H83" s="205"/>
      <c r="I83" s="205"/>
      <c r="J83" s="227">
        <f>SUM(J70:J82)</f>
        <v>0</v>
      </c>
    </row>
    <row r="84" spans="1:10" ht="11.25" hidden="1">
      <c r="A84" s="120"/>
      <c r="B84" s="209"/>
      <c r="C84" s="240"/>
      <c r="D84" s="207"/>
      <c r="E84" s="232"/>
      <c r="F84" s="128"/>
      <c r="G84" s="232"/>
      <c r="H84" s="205"/>
      <c r="I84" s="205"/>
      <c r="J84" s="248"/>
    </row>
    <row r="85" spans="1:10" ht="11.25" hidden="1">
      <c r="A85" s="120" t="s">
        <v>203</v>
      </c>
      <c r="B85" s="181" t="s">
        <v>157</v>
      </c>
      <c r="C85" s="239">
        <v>2750</v>
      </c>
      <c r="D85" s="206">
        <v>0</v>
      </c>
      <c r="E85" s="232">
        <f aca="true" t="shared" si="15" ref="E85:E91">C85*D85</f>
        <v>0</v>
      </c>
      <c r="F85" s="127" t="s">
        <v>96</v>
      </c>
      <c r="G85" s="244">
        <f aca="true" t="shared" si="16" ref="G85:G91">IF(F85="Yes",E85,0)</f>
        <v>0</v>
      </c>
      <c r="H85" s="205">
        <v>5</v>
      </c>
      <c r="I85" s="208">
        <f aca="true" t="shared" si="17" ref="I85:I91">$I$3/H85</f>
        <v>2</v>
      </c>
      <c r="J85" s="225">
        <f aca="true" t="shared" si="18" ref="J85:J91">E85*I85</f>
        <v>0</v>
      </c>
    </row>
    <row r="86" spans="1:10" ht="11.25" hidden="1">
      <c r="A86" s="120" t="s">
        <v>203</v>
      </c>
      <c r="B86" s="181" t="s">
        <v>158</v>
      </c>
      <c r="C86" s="239">
        <v>25</v>
      </c>
      <c r="D86" s="206">
        <v>0</v>
      </c>
      <c r="E86" s="232">
        <f t="shared" si="15"/>
        <v>0</v>
      </c>
      <c r="F86" s="127" t="s">
        <v>96</v>
      </c>
      <c r="G86" s="244">
        <f t="shared" si="16"/>
        <v>0</v>
      </c>
      <c r="H86" s="205">
        <v>5</v>
      </c>
      <c r="I86" s="208">
        <f t="shared" si="17"/>
        <v>2</v>
      </c>
      <c r="J86" s="225">
        <f t="shared" si="18"/>
        <v>0</v>
      </c>
    </row>
    <row r="87" spans="1:10" ht="11.25" hidden="1">
      <c r="A87" s="120" t="s">
        <v>203</v>
      </c>
      <c r="B87" s="181" t="s">
        <v>159</v>
      </c>
      <c r="C87" s="239">
        <v>2500</v>
      </c>
      <c r="D87" s="206">
        <v>0</v>
      </c>
      <c r="E87" s="232">
        <f t="shared" si="15"/>
        <v>0</v>
      </c>
      <c r="F87" s="127" t="s">
        <v>96</v>
      </c>
      <c r="G87" s="244">
        <f t="shared" si="16"/>
        <v>0</v>
      </c>
      <c r="H87" s="205">
        <v>5</v>
      </c>
      <c r="I87" s="208">
        <f t="shared" si="17"/>
        <v>2</v>
      </c>
      <c r="J87" s="225">
        <f t="shared" si="18"/>
        <v>0</v>
      </c>
    </row>
    <row r="88" spans="1:10" ht="11.25" hidden="1">
      <c r="A88" s="120" t="s">
        <v>203</v>
      </c>
      <c r="B88" s="181" t="s">
        <v>160</v>
      </c>
      <c r="C88" s="239">
        <v>2500</v>
      </c>
      <c r="D88" s="206">
        <v>0</v>
      </c>
      <c r="E88" s="232">
        <f t="shared" si="15"/>
        <v>0</v>
      </c>
      <c r="F88" s="127" t="s">
        <v>96</v>
      </c>
      <c r="G88" s="244">
        <f t="shared" si="16"/>
        <v>0</v>
      </c>
      <c r="H88" s="205">
        <v>5</v>
      </c>
      <c r="I88" s="208">
        <f t="shared" si="17"/>
        <v>2</v>
      </c>
      <c r="J88" s="225">
        <f t="shared" si="18"/>
        <v>0</v>
      </c>
    </row>
    <row r="89" spans="1:10" ht="11.25" hidden="1">
      <c r="A89" s="120" t="s">
        <v>203</v>
      </c>
      <c r="B89" s="181" t="s">
        <v>161</v>
      </c>
      <c r="C89" s="239">
        <v>7</v>
      </c>
      <c r="D89" s="206">
        <v>0</v>
      </c>
      <c r="E89" s="232">
        <f t="shared" si="15"/>
        <v>0</v>
      </c>
      <c r="F89" s="127" t="s">
        <v>96</v>
      </c>
      <c r="G89" s="244">
        <f t="shared" si="16"/>
        <v>0</v>
      </c>
      <c r="H89" s="205">
        <v>5</v>
      </c>
      <c r="I89" s="208">
        <f t="shared" si="17"/>
        <v>2</v>
      </c>
      <c r="J89" s="225">
        <f t="shared" si="18"/>
        <v>0</v>
      </c>
    </row>
    <row r="90" spans="1:10" ht="11.25" hidden="1">
      <c r="A90" s="120" t="s">
        <v>203</v>
      </c>
      <c r="B90" s="181" t="s">
        <v>162</v>
      </c>
      <c r="C90" s="239">
        <v>11</v>
      </c>
      <c r="D90" s="206">
        <v>0</v>
      </c>
      <c r="E90" s="232">
        <f t="shared" si="15"/>
        <v>0</v>
      </c>
      <c r="F90" s="127" t="s">
        <v>96</v>
      </c>
      <c r="G90" s="244">
        <f t="shared" si="16"/>
        <v>0</v>
      </c>
      <c r="H90" s="205">
        <v>5</v>
      </c>
      <c r="I90" s="208">
        <f t="shared" si="17"/>
        <v>2</v>
      </c>
      <c r="J90" s="225">
        <f t="shared" si="18"/>
        <v>0</v>
      </c>
    </row>
    <row r="91" spans="1:10" ht="11.25" hidden="1">
      <c r="A91" s="120" t="s">
        <v>203</v>
      </c>
      <c r="B91" s="181" t="s">
        <v>163</v>
      </c>
      <c r="C91" s="239">
        <v>500</v>
      </c>
      <c r="D91" s="206">
        <v>0</v>
      </c>
      <c r="E91" s="232">
        <f t="shared" si="15"/>
        <v>0</v>
      </c>
      <c r="F91" s="127" t="s">
        <v>96</v>
      </c>
      <c r="G91" s="244">
        <f t="shared" si="16"/>
        <v>0</v>
      </c>
      <c r="H91" s="205">
        <v>5</v>
      </c>
      <c r="I91" s="208">
        <f t="shared" si="17"/>
        <v>2</v>
      </c>
      <c r="J91" s="225">
        <f t="shared" si="18"/>
        <v>0</v>
      </c>
    </row>
    <row r="92" spans="1:10" ht="11.25" hidden="1">
      <c r="A92" s="120" t="s">
        <v>203</v>
      </c>
      <c r="B92" s="209" t="s">
        <v>215</v>
      </c>
      <c r="C92" s="240"/>
      <c r="D92" s="221"/>
      <c r="E92" s="235">
        <f>SUM(E85:E91)</f>
        <v>0</v>
      </c>
      <c r="F92" s="211"/>
      <c r="G92" s="235">
        <f>SUM(G85:G91)</f>
        <v>0</v>
      </c>
      <c r="H92" s="205"/>
      <c r="I92" s="208"/>
      <c r="J92" s="228">
        <f>SUM(J85:J91)</f>
        <v>0</v>
      </c>
    </row>
    <row r="93" spans="1:10" ht="11.25" hidden="1">
      <c r="A93" s="120"/>
      <c r="B93" s="200"/>
      <c r="C93" s="240"/>
      <c r="D93" s="222"/>
      <c r="E93" s="236"/>
      <c r="F93" s="128"/>
      <c r="G93" s="236"/>
      <c r="H93" s="205"/>
      <c r="I93" s="205"/>
      <c r="J93" s="248"/>
    </row>
    <row r="94" spans="1:10" ht="11.25">
      <c r="A94" s="120" t="s">
        <v>333</v>
      </c>
      <c r="B94" s="200" t="s">
        <v>334</v>
      </c>
      <c r="C94" s="240">
        <v>25</v>
      </c>
      <c r="D94" s="285">
        <v>25</v>
      </c>
      <c r="E94" s="232">
        <f aca="true" t="shared" si="19" ref="E94:E103">C94*D94</f>
        <v>625</v>
      </c>
      <c r="F94" s="284" t="s">
        <v>97</v>
      </c>
      <c r="G94" s="244">
        <f aca="true" t="shared" si="20" ref="G94:G108">IF(F94="Yes",E94,0)</f>
        <v>0</v>
      </c>
      <c r="H94" s="205">
        <v>3</v>
      </c>
      <c r="I94" s="208">
        <f aca="true" t="shared" si="21" ref="I94:I103">$I$3/H94</f>
        <v>3.3333333333333335</v>
      </c>
      <c r="J94" s="225">
        <f aca="true" t="shared" si="22" ref="J94:J103">E94*I94</f>
        <v>2083.3333333333335</v>
      </c>
    </row>
    <row r="95" spans="1:10" ht="11.25">
      <c r="A95" s="120" t="s">
        <v>333</v>
      </c>
      <c r="B95" s="200" t="s">
        <v>335</v>
      </c>
      <c r="C95" s="240">
        <v>3</v>
      </c>
      <c r="D95" s="285">
        <v>50</v>
      </c>
      <c r="E95" s="232">
        <f t="shared" si="19"/>
        <v>150</v>
      </c>
      <c r="F95" s="284" t="s">
        <v>97</v>
      </c>
      <c r="G95" s="244">
        <f t="shared" si="20"/>
        <v>0</v>
      </c>
      <c r="H95" s="205">
        <v>3</v>
      </c>
      <c r="I95" s="208">
        <f t="shared" si="21"/>
        <v>3.3333333333333335</v>
      </c>
      <c r="J95" s="225">
        <f t="shared" si="22"/>
        <v>500</v>
      </c>
    </row>
    <row r="96" spans="1:10" ht="11.25">
      <c r="A96" s="120" t="s">
        <v>333</v>
      </c>
      <c r="B96" s="200" t="s">
        <v>336</v>
      </c>
      <c r="C96" s="240">
        <v>2000</v>
      </c>
      <c r="D96" s="285">
        <v>1</v>
      </c>
      <c r="E96" s="232">
        <f t="shared" si="19"/>
        <v>2000</v>
      </c>
      <c r="F96" s="284" t="s">
        <v>97</v>
      </c>
      <c r="G96" s="244">
        <f t="shared" si="20"/>
        <v>0</v>
      </c>
      <c r="H96" s="205">
        <v>5</v>
      </c>
      <c r="I96" s="208">
        <f t="shared" si="21"/>
        <v>2</v>
      </c>
      <c r="J96" s="225">
        <f t="shared" si="22"/>
        <v>4000</v>
      </c>
    </row>
    <row r="97" spans="1:10" ht="11.25">
      <c r="A97" s="120" t="s">
        <v>333</v>
      </c>
      <c r="B97" s="200" t="s">
        <v>339</v>
      </c>
      <c r="C97" s="240">
        <v>500</v>
      </c>
      <c r="D97" s="285">
        <v>1</v>
      </c>
      <c r="E97" s="232">
        <f t="shared" si="19"/>
        <v>500</v>
      </c>
      <c r="F97" s="284" t="s">
        <v>97</v>
      </c>
      <c r="G97" s="244">
        <f t="shared" si="20"/>
        <v>0</v>
      </c>
      <c r="H97" s="205">
        <v>5</v>
      </c>
      <c r="I97" s="208">
        <f t="shared" si="21"/>
        <v>2</v>
      </c>
      <c r="J97" s="225">
        <f t="shared" si="22"/>
        <v>1000</v>
      </c>
    </row>
    <row r="98" spans="1:10" ht="11.25">
      <c r="A98" s="120" t="s">
        <v>333</v>
      </c>
      <c r="B98" s="200"/>
      <c r="C98" s="240"/>
      <c r="D98" s="285">
        <v>0</v>
      </c>
      <c r="E98" s="232">
        <f t="shared" si="19"/>
        <v>0</v>
      </c>
      <c r="F98" s="284" t="s">
        <v>97</v>
      </c>
      <c r="G98" s="244">
        <f t="shared" si="20"/>
        <v>0</v>
      </c>
      <c r="H98" s="205">
        <v>5</v>
      </c>
      <c r="I98" s="208">
        <f t="shared" si="21"/>
        <v>2</v>
      </c>
      <c r="J98" s="225">
        <f t="shared" si="22"/>
        <v>0</v>
      </c>
    </row>
    <row r="99" spans="1:10" ht="11.25">
      <c r="A99" s="120" t="s">
        <v>333</v>
      </c>
      <c r="B99" s="200"/>
      <c r="C99" s="240"/>
      <c r="D99" s="285">
        <v>0</v>
      </c>
      <c r="E99" s="232">
        <f t="shared" si="19"/>
        <v>0</v>
      </c>
      <c r="F99" s="284" t="s">
        <v>97</v>
      </c>
      <c r="G99" s="244">
        <f t="shared" si="20"/>
        <v>0</v>
      </c>
      <c r="H99" s="205">
        <v>5</v>
      </c>
      <c r="I99" s="208">
        <f t="shared" si="21"/>
        <v>2</v>
      </c>
      <c r="J99" s="225">
        <f t="shared" si="22"/>
        <v>0</v>
      </c>
    </row>
    <row r="100" spans="1:10" ht="11.25">
      <c r="A100" s="120" t="s">
        <v>333</v>
      </c>
      <c r="B100" s="200"/>
      <c r="C100" s="240"/>
      <c r="D100" s="285">
        <v>0</v>
      </c>
      <c r="E100" s="232">
        <f t="shared" si="19"/>
        <v>0</v>
      </c>
      <c r="F100" s="284" t="s">
        <v>97</v>
      </c>
      <c r="G100" s="244">
        <f t="shared" si="20"/>
        <v>0</v>
      </c>
      <c r="H100" s="205">
        <v>5</v>
      </c>
      <c r="I100" s="208">
        <f t="shared" si="21"/>
        <v>2</v>
      </c>
      <c r="J100" s="225">
        <f t="shared" si="22"/>
        <v>0</v>
      </c>
    </row>
    <row r="101" spans="1:10" ht="11.25">
      <c r="A101" s="120" t="s">
        <v>333</v>
      </c>
      <c r="B101" s="200"/>
      <c r="C101" s="240"/>
      <c r="D101" s="285">
        <v>0</v>
      </c>
      <c r="E101" s="232">
        <f t="shared" si="19"/>
        <v>0</v>
      </c>
      <c r="F101" s="284" t="s">
        <v>97</v>
      </c>
      <c r="G101" s="244">
        <f t="shared" si="20"/>
        <v>0</v>
      </c>
      <c r="H101" s="205">
        <v>11</v>
      </c>
      <c r="I101" s="208">
        <f t="shared" si="21"/>
        <v>0.9090909090909091</v>
      </c>
      <c r="J101" s="225">
        <f t="shared" si="22"/>
        <v>0</v>
      </c>
    </row>
    <row r="102" spans="1:10" ht="11.25">
      <c r="A102" s="120" t="s">
        <v>333</v>
      </c>
      <c r="B102" s="200"/>
      <c r="C102" s="240"/>
      <c r="D102" s="285">
        <v>0</v>
      </c>
      <c r="E102" s="232">
        <f t="shared" si="19"/>
        <v>0</v>
      </c>
      <c r="F102" s="284" t="s">
        <v>97</v>
      </c>
      <c r="G102" s="244">
        <f t="shared" si="20"/>
        <v>0</v>
      </c>
      <c r="H102" s="205">
        <v>5</v>
      </c>
      <c r="I102" s="208">
        <f t="shared" si="21"/>
        <v>2</v>
      </c>
      <c r="J102" s="225">
        <f t="shared" si="22"/>
        <v>0</v>
      </c>
    </row>
    <row r="103" spans="1:10" ht="11.25">
      <c r="A103" s="120" t="s">
        <v>333</v>
      </c>
      <c r="B103" s="200"/>
      <c r="C103" s="240"/>
      <c r="D103" s="285">
        <v>0</v>
      </c>
      <c r="E103" s="232">
        <f t="shared" si="19"/>
        <v>0</v>
      </c>
      <c r="F103" s="284" t="s">
        <v>97</v>
      </c>
      <c r="G103" s="244">
        <f t="shared" si="20"/>
        <v>0</v>
      </c>
      <c r="H103" s="205">
        <v>5</v>
      </c>
      <c r="I103" s="208">
        <f t="shared" si="21"/>
        <v>2</v>
      </c>
      <c r="J103" s="225">
        <f t="shared" si="22"/>
        <v>0</v>
      </c>
    </row>
    <row r="104" spans="1:10" ht="11.25">
      <c r="A104" s="120" t="s">
        <v>333</v>
      </c>
      <c r="B104" s="209" t="s">
        <v>333</v>
      </c>
      <c r="C104" s="240"/>
      <c r="D104" s="221"/>
      <c r="E104" s="235">
        <f>SUM(E94:E103)</f>
        <v>3275</v>
      </c>
      <c r="F104" s="211"/>
      <c r="G104" s="235">
        <f>SUM(G94:G103)</f>
        <v>0</v>
      </c>
      <c r="H104" s="205"/>
      <c r="I104" s="208"/>
      <c r="J104" s="228">
        <f>SUM(J94:J103)</f>
        <v>7583.333333333334</v>
      </c>
    </row>
    <row r="105" spans="1:10" ht="11.25">
      <c r="A105" s="120"/>
      <c r="B105" s="209"/>
      <c r="C105" s="240"/>
      <c r="D105" s="221"/>
      <c r="E105" s="235"/>
      <c r="F105" s="211"/>
      <c r="G105" s="247"/>
      <c r="H105" s="205"/>
      <c r="I105" s="208"/>
      <c r="J105" s="228"/>
    </row>
    <row r="106" spans="1:10" ht="11.25" hidden="1">
      <c r="A106" s="120" t="s">
        <v>338</v>
      </c>
      <c r="B106" s="200" t="s">
        <v>164</v>
      </c>
      <c r="C106" s="282">
        <v>1000</v>
      </c>
      <c r="D106" s="285"/>
      <c r="E106" s="232">
        <f>C106*D106</f>
        <v>0</v>
      </c>
      <c r="F106" s="284" t="s">
        <v>96</v>
      </c>
      <c r="G106" s="244">
        <f t="shared" si="20"/>
        <v>0</v>
      </c>
      <c r="H106" s="205">
        <v>10</v>
      </c>
      <c r="I106" s="208">
        <f>$I$3/H106</f>
        <v>1</v>
      </c>
      <c r="J106" s="225">
        <f>E106*I106</f>
        <v>0</v>
      </c>
    </row>
    <row r="107" spans="1:10" ht="11.25" hidden="1">
      <c r="A107" s="120" t="s">
        <v>338</v>
      </c>
      <c r="B107" s="200" t="s">
        <v>165</v>
      </c>
      <c r="C107" s="282">
        <v>350</v>
      </c>
      <c r="D107" s="285"/>
      <c r="E107" s="232">
        <f>C107*D107</f>
        <v>0</v>
      </c>
      <c r="F107" s="284" t="s">
        <v>96</v>
      </c>
      <c r="G107" s="244">
        <f t="shared" si="20"/>
        <v>0</v>
      </c>
      <c r="H107" s="205">
        <v>3</v>
      </c>
      <c r="I107" s="208">
        <f>$I$3/H107</f>
        <v>3.3333333333333335</v>
      </c>
      <c r="J107" s="225">
        <f>E107*I107</f>
        <v>0</v>
      </c>
    </row>
    <row r="108" spans="1:10" ht="11.25" hidden="1">
      <c r="A108" s="120" t="s">
        <v>338</v>
      </c>
      <c r="B108" s="200" t="s">
        <v>166</v>
      </c>
      <c r="C108" s="282">
        <v>2500</v>
      </c>
      <c r="D108" s="285"/>
      <c r="E108" s="232">
        <f>C108*D108</f>
        <v>0</v>
      </c>
      <c r="F108" s="284" t="s">
        <v>96</v>
      </c>
      <c r="G108" s="244">
        <f t="shared" si="20"/>
        <v>0</v>
      </c>
      <c r="H108" s="205">
        <v>10</v>
      </c>
      <c r="I108" s="208">
        <f>$I$3/H108</f>
        <v>1</v>
      </c>
      <c r="J108" s="225">
        <f>E108*I108</f>
        <v>0</v>
      </c>
    </row>
    <row r="109" spans="1:10" ht="11.25" hidden="1">
      <c r="A109" s="120" t="s">
        <v>338</v>
      </c>
      <c r="B109" s="209" t="s">
        <v>61</v>
      </c>
      <c r="C109" s="240"/>
      <c r="D109" s="221"/>
      <c r="E109" s="235">
        <f>SUM(E106:E108)</f>
        <v>0</v>
      </c>
      <c r="F109" s="211"/>
      <c r="G109" s="235">
        <f>SUM(G106:G108)</f>
        <v>0</v>
      </c>
      <c r="H109" s="205"/>
      <c r="I109" s="208"/>
      <c r="J109" s="228">
        <f>SUM(J106:J108)</f>
        <v>0</v>
      </c>
    </row>
    <row r="110" spans="1:10" ht="11.25" hidden="1">
      <c r="A110" s="120"/>
      <c r="B110" s="200"/>
      <c r="C110" s="240"/>
      <c r="D110" s="221"/>
      <c r="E110" s="235"/>
      <c r="F110" s="211"/>
      <c r="G110" s="235"/>
      <c r="H110" s="205"/>
      <c r="I110" s="205"/>
      <c r="J110" s="248"/>
    </row>
    <row r="111" spans="1:10" ht="11.25" hidden="1">
      <c r="A111" s="120" t="s">
        <v>59</v>
      </c>
      <c r="B111" s="200" t="s">
        <v>167</v>
      </c>
      <c r="C111" s="282">
        <v>500</v>
      </c>
      <c r="D111" s="283"/>
      <c r="E111" s="232">
        <f aca="true" t="shared" si="23" ref="E111:E120">C111*D111</f>
        <v>0</v>
      </c>
      <c r="F111" s="284" t="s">
        <v>96</v>
      </c>
      <c r="G111" s="244">
        <f aca="true" t="shared" si="24" ref="G111:G120">IF(F111="Yes",E111,0)</f>
        <v>0</v>
      </c>
      <c r="H111" s="205">
        <v>5</v>
      </c>
      <c r="I111" s="208">
        <f aca="true" t="shared" si="25" ref="I111:I120">$I$3/H111</f>
        <v>2</v>
      </c>
      <c r="J111" s="225">
        <f aca="true" t="shared" si="26" ref="J111:J120">E111*I111</f>
        <v>0</v>
      </c>
    </row>
    <row r="112" spans="1:10" ht="11.25" hidden="1">
      <c r="A112" s="120" t="s">
        <v>59</v>
      </c>
      <c r="B112" s="200" t="s">
        <v>168</v>
      </c>
      <c r="C112" s="282">
        <f>850/3</f>
        <v>283.3333333333333</v>
      </c>
      <c r="D112" s="283"/>
      <c r="E112" s="232">
        <f t="shared" si="23"/>
        <v>0</v>
      </c>
      <c r="F112" s="284" t="s">
        <v>96</v>
      </c>
      <c r="G112" s="244">
        <f t="shared" si="24"/>
        <v>0</v>
      </c>
      <c r="H112" s="205">
        <v>15</v>
      </c>
      <c r="I112" s="208">
        <f t="shared" si="25"/>
        <v>0.6666666666666666</v>
      </c>
      <c r="J112" s="225">
        <f t="shared" si="26"/>
        <v>0</v>
      </c>
    </row>
    <row r="113" spans="1:10" ht="11.25" hidden="1">
      <c r="A113" s="120" t="s">
        <v>59</v>
      </c>
      <c r="B113" s="200" t="s">
        <v>169</v>
      </c>
      <c r="C113" s="282">
        <v>2500</v>
      </c>
      <c r="D113" s="283"/>
      <c r="E113" s="232">
        <f t="shared" si="23"/>
        <v>0</v>
      </c>
      <c r="F113" s="284" t="s">
        <v>96</v>
      </c>
      <c r="G113" s="244">
        <f t="shared" si="24"/>
        <v>0</v>
      </c>
      <c r="H113" s="205">
        <v>15</v>
      </c>
      <c r="I113" s="208">
        <f t="shared" si="25"/>
        <v>0.6666666666666666</v>
      </c>
      <c r="J113" s="225">
        <f t="shared" si="26"/>
        <v>0</v>
      </c>
    </row>
    <row r="114" spans="1:10" ht="11.25" hidden="1">
      <c r="A114" s="120" t="s">
        <v>59</v>
      </c>
      <c r="B114" s="200" t="s">
        <v>170</v>
      </c>
      <c r="C114" s="282">
        <v>750</v>
      </c>
      <c r="D114" s="283"/>
      <c r="E114" s="232">
        <f t="shared" si="23"/>
        <v>0</v>
      </c>
      <c r="F114" s="284" t="s">
        <v>96</v>
      </c>
      <c r="G114" s="244">
        <f t="shared" si="24"/>
        <v>0</v>
      </c>
      <c r="H114" s="205">
        <v>20</v>
      </c>
      <c r="I114" s="208">
        <f t="shared" si="25"/>
        <v>0.5</v>
      </c>
      <c r="J114" s="225">
        <f t="shared" si="26"/>
        <v>0</v>
      </c>
    </row>
    <row r="115" spans="1:10" ht="11.25" hidden="1">
      <c r="A115" s="120" t="s">
        <v>59</v>
      </c>
      <c r="B115" s="200" t="s">
        <v>171</v>
      </c>
      <c r="C115" s="282">
        <f>1000/6</f>
        <v>166.66666666666666</v>
      </c>
      <c r="D115" s="283"/>
      <c r="E115" s="232">
        <f t="shared" si="23"/>
        <v>0</v>
      </c>
      <c r="F115" s="284" t="s">
        <v>96</v>
      </c>
      <c r="G115" s="244">
        <f t="shared" si="24"/>
        <v>0</v>
      </c>
      <c r="H115" s="205">
        <v>7</v>
      </c>
      <c r="I115" s="208">
        <f t="shared" si="25"/>
        <v>1.4285714285714286</v>
      </c>
      <c r="J115" s="225">
        <f t="shared" si="26"/>
        <v>0</v>
      </c>
    </row>
    <row r="116" spans="1:10" ht="11.25" hidden="1">
      <c r="A116" s="120" t="s">
        <v>59</v>
      </c>
      <c r="B116" s="200" t="s">
        <v>172</v>
      </c>
      <c r="C116" s="282">
        <f>1500/6</f>
        <v>250</v>
      </c>
      <c r="D116" s="283"/>
      <c r="E116" s="232">
        <f t="shared" si="23"/>
        <v>0</v>
      </c>
      <c r="F116" s="284" t="s">
        <v>96</v>
      </c>
      <c r="G116" s="244">
        <f t="shared" si="24"/>
        <v>0</v>
      </c>
      <c r="H116" s="205">
        <v>7</v>
      </c>
      <c r="I116" s="208">
        <f t="shared" si="25"/>
        <v>1.4285714285714286</v>
      </c>
      <c r="J116" s="225">
        <f t="shared" si="26"/>
        <v>0</v>
      </c>
    </row>
    <row r="117" spans="1:10" ht="11.25" hidden="1">
      <c r="A117" s="120" t="s">
        <v>59</v>
      </c>
      <c r="B117" s="200" t="s">
        <v>173</v>
      </c>
      <c r="C117" s="282">
        <v>250</v>
      </c>
      <c r="D117" s="283"/>
      <c r="E117" s="232">
        <f t="shared" si="23"/>
        <v>0</v>
      </c>
      <c r="F117" s="284" t="s">
        <v>96</v>
      </c>
      <c r="G117" s="244">
        <f t="shared" si="24"/>
        <v>0</v>
      </c>
      <c r="H117" s="205">
        <v>7</v>
      </c>
      <c r="I117" s="208">
        <f t="shared" si="25"/>
        <v>1.4285714285714286</v>
      </c>
      <c r="J117" s="225">
        <f t="shared" si="26"/>
        <v>0</v>
      </c>
    </row>
    <row r="118" spans="1:10" ht="11.25" hidden="1">
      <c r="A118" s="120" t="s">
        <v>59</v>
      </c>
      <c r="B118" s="200" t="s">
        <v>174</v>
      </c>
      <c r="C118" s="282">
        <f>1500/4</f>
        <v>375</v>
      </c>
      <c r="D118" s="283"/>
      <c r="E118" s="232">
        <f t="shared" si="23"/>
        <v>0</v>
      </c>
      <c r="F118" s="284" t="s">
        <v>96</v>
      </c>
      <c r="G118" s="244">
        <f t="shared" si="24"/>
        <v>0</v>
      </c>
      <c r="H118" s="205">
        <v>7</v>
      </c>
      <c r="I118" s="208">
        <f t="shared" si="25"/>
        <v>1.4285714285714286</v>
      </c>
      <c r="J118" s="225">
        <f t="shared" si="26"/>
        <v>0</v>
      </c>
    </row>
    <row r="119" spans="1:10" ht="11.25" hidden="1">
      <c r="A119" s="120" t="s">
        <v>59</v>
      </c>
      <c r="B119" s="200" t="s">
        <v>175</v>
      </c>
      <c r="C119" s="282">
        <v>200</v>
      </c>
      <c r="D119" s="283"/>
      <c r="E119" s="232">
        <f t="shared" si="23"/>
        <v>0</v>
      </c>
      <c r="F119" s="284" t="s">
        <v>96</v>
      </c>
      <c r="G119" s="244">
        <f t="shared" si="24"/>
        <v>0</v>
      </c>
      <c r="H119" s="205">
        <v>5</v>
      </c>
      <c r="I119" s="208">
        <f t="shared" si="25"/>
        <v>2</v>
      </c>
      <c r="J119" s="225">
        <f t="shared" si="26"/>
        <v>0</v>
      </c>
    </row>
    <row r="120" spans="1:10" ht="11.25" hidden="1">
      <c r="A120" s="120" t="s">
        <v>59</v>
      </c>
      <c r="B120" s="200" t="s">
        <v>176</v>
      </c>
      <c r="C120" s="282">
        <v>2000</v>
      </c>
      <c r="D120" s="283"/>
      <c r="E120" s="232">
        <f t="shared" si="23"/>
        <v>0</v>
      </c>
      <c r="F120" s="284" t="s">
        <v>96</v>
      </c>
      <c r="G120" s="244">
        <f t="shared" si="24"/>
        <v>0</v>
      </c>
      <c r="H120" s="205">
        <v>5</v>
      </c>
      <c r="I120" s="208">
        <f t="shared" si="25"/>
        <v>2</v>
      </c>
      <c r="J120" s="225">
        <f t="shared" si="26"/>
        <v>0</v>
      </c>
    </row>
    <row r="121" spans="1:10" ht="11.25" hidden="1">
      <c r="A121" s="120" t="s">
        <v>59</v>
      </c>
      <c r="B121" s="209" t="s">
        <v>59</v>
      </c>
      <c r="C121" s="240"/>
      <c r="D121" s="210">
        <f>SUM(D111:D120)</f>
        <v>0</v>
      </c>
      <c r="E121" s="233">
        <f>SUM(E111:E120)</f>
        <v>0</v>
      </c>
      <c r="F121" s="211"/>
      <c r="G121" s="233">
        <f>SUM(G111:G120)</f>
        <v>0</v>
      </c>
      <c r="H121" s="205"/>
      <c r="I121" s="208"/>
      <c r="J121" s="227">
        <f>SUM(J111:J120)</f>
        <v>0</v>
      </c>
    </row>
    <row r="122" spans="1:10" ht="11.25" hidden="1">
      <c r="A122" s="120"/>
      <c r="B122" s="200"/>
      <c r="C122" s="240"/>
      <c r="D122" s="207"/>
      <c r="E122" s="232"/>
      <c r="F122" s="128"/>
      <c r="G122" s="232"/>
      <c r="H122" s="205"/>
      <c r="I122" s="205"/>
      <c r="J122" s="248"/>
    </row>
    <row r="123" spans="1:10" ht="11.25" hidden="1">
      <c r="A123" s="120" t="s">
        <v>105</v>
      </c>
      <c r="B123" s="200" t="s">
        <v>177</v>
      </c>
      <c r="C123" s="282">
        <v>400</v>
      </c>
      <c r="D123" s="286"/>
      <c r="E123" s="232">
        <f aca="true" t="shared" si="27" ref="E123:E130">C123*D123</f>
        <v>0</v>
      </c>
      <c r="F123" s="284" t="s">
        <v>96</v>
      </c>
      <c r="G123" s="244">
        <f aca="true" t="shared" si="28" ref="G123:G130">IF(F123="Yes",E123,0)</f>
        <v>0</v>
      </c>
      <c r="H123" s="205">
        <v>5</v>
      </c>
      <c r="I123" s="208">
        <f aca="true" t="shared" si="29" ref="I123:I130">$I$3/H123</f>
        <v>2</v>
      </c>
      <c r="J123" s="225">
        <f aca="true" t="shared" si="30" ref="J123:J130">E123*I123</f>
        <v>0</v>
      </c>
    </row>
    <row r="124" spans="1:10" ht="11.25" hidden="1">
      <c r="A124" s="120" t="s">
        <v>105</v>
      </c>
      <c r="B124" s="200" t="s">
        <v>178</v>
      </c>
      <c r="C124" s="282">
        <v>1500</v>
      </c>
      <c r="D124" s="286"/>
      <c r="E124" s="232">
        <f t="shared" si="27"/>
        <v>0</v>
      </c>
      <c r="F124" s="284" t="s">
        <v>96</v>
      </c>
      <c r="G124" s="244">
        <f t="shared" si="28"/>
        <v>0</v>
      </c>
      <c r="H124" s="205">
        <v>7</v>
      </c>
      <c r="I124" s="208">
        <f t="shared" si="29"/>
        <v>1.4285714285714286</v>
      </c>
      <c r="J124" s="225">
        <f t="shared" si="30"/>
        <v>0</v>
      </c>
    </row>
    <row r="125" spans="1:10" ht="11.25" hidden="1">
      <c r="A125" s="120" t="s">
        <v>105</v>
      </c>
      <c r="B125" s="200" t="s">
        <v>179</v>
      </c>
      <c r="C125" s="282">
        <v>100</v>
      </c>
      <c r="D125" s="286"/>
      <c r="E125" s="232">
        <f t="shared" si="27"/>
        <v>0</v>
      </c>
      <c r="F125" s="284" t="s">
        <v>96</v>
      </c>
      <c r="G125" s="244">
        <f t="shared" si="28"/>
        <v>0</v>
      </c>
      <c r="H125" s="205">
        <v>10</v>
      </c>
      <c r="I125" s="208">
        <f t="shared" si="29"/>
        <v>1</v>
      </c>
      <c r="J125" s="225">
        <f t="shared" si="30"/>
        <v>0</v>
      </c>
    </row>
    <row r="126" spans="1:10" ht="11.25" hidden="1">
      <c r="A126" s="120" t="s">
        <v>105</v>
      </c>
      <c r="B126" s="200" t="s">
        <v>180</v>
      </c>
      <c r="C126" s="282">
        <v>200</v>
      </c>
      <c r="D126" s="286"/>
      <c r="E126" s="232">
        <f t="shared" si="27"/>
        <v>0</v>
      </c>
      <c r="F126" s="284" t="s">
        <v>96</v>
      </c>
      <c r="G126" s="244">
        <f t="shared" si="28"/>
        <v>0</v>
      </c>
      <c r="H126" s="205">
        <v>7</v>
      </c>
      <c r="I126" s="208">
        <f t="shared" si="29"/>
        <v>1.4285714285714286</v>
      </c>
      <c r="J126" s="225">
        <f t="shared" si="30"/>
        <v>0</v>
      </c>
    </row>
    <row r="127" spans="1:10" ht="11.25" hidden="1">
      <c r="A127" s="120" t="s">
        <v>105</v>
      </c>
      <c r="B127" s="200" t="s">
        <v>181</v>
      </c>
      <c r="C127" s="282">
        <v>1200</v>
      </c>
      <c r="D127" s="286"/>
      <c r="E127" s="232">
        <f t="shared" si="27"/>
        <v>0</v>
      </c>
      <c r="F127" s="284" t="s">
        <v>96</v>
      </c>
      <c r="G127" s="244">
        <f t="shared" si="28"/>
        <v>0</v>
      </c>
      <c r="H127" s="205">
        <v>7</v>
      </c>
      <c r="I127" s="208">
        <f t="shared" si="29"/>
        <v>1.4285714285714286</v>
      </c>
      <c r="J127" s="225">
        <f t="shared" si="30"/>
        <v>0</v>
      </c>
    </row>
    <row r="128" spans="1:10" ht="11.25" hidden="1">
      <c r="A128" s="120" t="s">
        <v>105</v>
      </c>
      <c r="B128" s="200" t="s">
        <v>182</v>
      </c>
      <c r="C128" s="282">
        <v>1300</v>
      </c>
      <c r="D128" s="286"/>
      <c r="E128" s="232">
        <f t="shared" si="27"/>
        <v>0</v>
      </c>
      <c r="F128" s="284" t="s">
        <v>96</v>
      </c>
      <c r="G128" s="244">
        <f t="shared" si="28"/>
        <v>0</v>
      </c>
      <c r="H128" s="205">
        <v>5</v>
      </c>
      <c r="I128" s="208">
        <f t="shared" si="29"/>
        <v>2</v>
      </c>
      <c r="J128" s="225">
        <f t="shared" si="30"/>
        <v>0</v>
      </c>
    </row>
    <row r="129" spans="1:10" ht="11.25" hidden="1">
      <c r="A129" s="120" t="s">
        <v>105</v>
      </c>
      <c r="B129" s="200" t="s">
        <v>183</v>
      </c>
      <c r="C129" s="282">
        <v>2000</v>
      </c>
      <c r="D129" s="286"/>
      <c r="E129" s="232">
        <f t="shared" si="27"/>
        <v>0</v>
      </c>
      <c r="F129" s="284" t="s">
        <v>96</v>
      </c>
      <c r="G129" s="244">
        <f t="shared" si="28"/>
        <v>0</v>
      </c>
      <c r="H129" s="205">
        <v>5</v>
      </c>
      <c r="I129" s="208">
        <f t="shared" si="29"/>
        <v>2</v>
      </c>
      <c r="J129" s="225">
        <f t="shared" si="30"/>
        <v>0</v>
      </c>
    </row>
    <row r="130" spans="1:10" ht="11.25" hidden="1">
      <c r="A130" s="120" t="s">
        <v>105</v>
      </c>
      <c r="B130" s="200" t="s">
        <v>184</v>
      </c>
      <c r="C130" s="282">
        <v>300</v>
      </c>
      <c r="D130" s="286"/>
      <c r="E130" s="232">
        <f t="shared" si="27"/>
        <v>0</v>
      </c>
      <c r="F130" s="284" t="s">
        <v>96</v>
      </c>
      <c r="G130" s="244">
        <f t="shared" si="28"/>
        <v>0</v>
      </c>
      <c r="H130" s="205">
        <v>10</v>
      </c>
      <c r="I130" s="208">
        <f t="shared" si="29"/>
        <v>1</v>
      </c>
      <c r="J130" s="225">
        <f t="shared" si="30"/>
        <v>0</v>
      </c>
    </row>
    <row r="131" spans="1:10" ht="11.25" hidden="1">
      <c r="A131" s="120" t="s">
        <v>105</v>
      </c>
      <c r="B131" s="209" t="s">
        <v>105</v>
      </c>
      <c r="C131" s="240"/>
      <c r="D131" s="210"/>
      <c r="E131" s="233">
        <f>SUM(E123:E130)</f>
        <v>0</v>
      </c>
      <c r="F131" s="211"/>
      <c r="G131" s="233">
        <f>SUM(G123:G130)</f>
        <v>0</v>
      </c>
      <c r="H131" s="205"/>
      <c r="I131" s="205"/>
      <c r="J131" s="227">
        <f>SUM(J123:J130)</f>
        <v>0</v>
      </c>
    </row>
    <row r="132" spans="1:10" ht="11.25" hidden="1">
      <c r="A132" s="120"/>
      <c r="B132" s="200"/>
      <c r="C132" s="242"/>
      <c r="D132" s="207"/>
      <c r="E132" s="232"/>
      <c r="F132" s="128"/>
      <c r="G132" s="232"/>
      <c r="H132" s="200"/>
      <c r="I132" s="200"/>
      <c r="J132" s="179"/>
    </row>
    <row r="133" spans="1:10" ht="11.25" hidden="1">
      <c r="A133" s="120" t="s">
        <v>202</v>
      </c>
      <c r="B133" s="200" t="s">
        <v>185</v>
      </c>
      <c r="C133" s="282">
        <v>1500</v>
      </c>
      <c r="D133" s="286"/>
      <c r="E133" s="232">
        <f aca="true" t="shared" si="31" ref="E133:E142">C133*D133</f>
        <v>0</v>
      </c>
      <c r="F133" s="284" t="s">
        <v>96</v>
      </c>
      <c r="G133" s="244">
        <f aca="true" t="shared" si="32" ref="G133:G142">IF(F133="Yes",E133,0)</f>
        <v>0</v>
      </c>
      <c r="H133" s="205">
        <v>10</v>
      </c>
      <c r="I133" s="208">
        <f aca="true" t="shared" si="33" ref="I133:I142">$I$3/H133</f>
        <v>1</v>
      </c>
      <c r="J133" s="225">
        <f>E133*I133</f>
        <v>0</v>
      </c>
    </row>
    <row r="134" spans="1:10" ht="11.25" hidden="1">
      <c r="A134" s="120" t="s">
        <v>202</v>
      </c>
      <c r="B134" s="200" t="s">
        <v>186</v>
      </c>
      <c r="C134" s="282">
        <v>750</v>
      </c>
      <c r="D134" s="286"/>
      <c r="E134" s="232">
        <f t="shared" si="31"/>
        <v>0</v>
      </c>
      <c r="F134" s="284" t="s">
        <v>96</v>
      </c>
      <c r="G134" s="244">
        <f t="shared" si="32"/>
        <v>0</v>
      </c>
      <c r="H134" s="205">
        <v>10</v>
      </c>
      <c r="I134" s="208">
        <f t="shared" si="33"/>
        <v>1</v>
      </c>
      <c r="J134" s="225">
        <f aca="true" t="shared" si="34" ref="J134:J142">E134*I134</f>
        <v>0</v>
      </c>
    </row>
    <row r="135" spans="1:10" ht="11.25" hidden="1">
      <c r="A135" s="120" t="s">
        <v>202</v>
      </c>
      <c r="B135" s="200" t="s">
        <v>187</v>
      </c>
      <c r="C135" s="282">
        <v>5000</v>
      </c>
      <c r="D135" s="286"/>
      <c r="E135" s="232">
        <f t="shared" si="31"/>
        <v>0</v>
      </c>
      <c r="F135" s="284" t="s">
        <v>96</v>
      </c>
      <c r="G135" s="244">
        <f t="shared" si="32"/>
        <v>0</v>
      </c>
      <c r="H135" s="205">
        <v>10</v>
      </c>
      <c r="I135" s="208">
        <f t="shared" si="33"/>
        <v>1</v>
      </c>
      <c r="J135" s="225">
        <f t="shared" si="34"/>
        <v>0</v>
      </c>
    </row>
    <row r="136" spans="1:10" ht="11.25" hidden="1">
      <c r="A136" s="120" t="s">
        <v>202</v>
      </c>
      <c r="B136" s="200" t="s">
        <v>188</v>
      </c>
      <c r="C136" s="282">
        <v>2500</v>
      </c>
      <c r="D136" s="286"/>
      <c r="E136" s="232">
        <f t="shared" si="31"/>
        <v>0</v>
      </c>
      <c r="F136" s="284" t="s">
        <v>96</v>
      </c>
      <c r="G136" s="244">
        <f t="shared" si="32"/>
        <v>0</v>
      </c>
      <c r="H136" s="205">
        <v>10</v>
      </c>
      <c r="I136" s="208">
        <f t="shared" si="33"/>
        <v>1</v>
      </c>
      <c r="J136" s="225">
        <f t="shared" si="34"/>
        <v>0</v>
      </c>
    </row>
    <row r="137" spans="1:10" ht="11.25" hidden="1">
      <c r="A137" s="120" t="s">
        <v>202</v>
      </c>
      <c r="B137" s="200" t="s">
        <v>189</v>
      </c>
      <c r="C137" s="282">
        <v>1250</v>
      </c>
      <c r="D137" s="286"/>
      <c r="E137" s="232">
        <f t="shared" si="31"/>
        <v>0</v>
      </c>
      <c r="F137" s="284" t="s">
        <v>96</v>
      </c>
      <c r="G137" s="244">
        <f t="shared" si="32"/>
        <v>0</v>
      </c>
      <c r="H137" s="205">
        <v>10</v>
      </c>
      <c r="I137" s="208">
        <f t="shared" si="33"/>
        <v>1</v>
      </c>
      <c r="J137" s="225">
        <f t="shared" si="34"/>
        <v>0</v>
      </c>
    </row>
    <row r="138" spans="1:10" ht="11.25" hidden="1">
      <c r="A138" s="120" t="s">
        <v>202</v>
      </c>
      <c r="B138" s="200" t="s">
        <v>190</v>
      </c>
      <c r="C138" s="282">
        <v>1850</v>
      </c>
      <c r="D138" s="286"/>
      <c r="E138" s="232">
        <f t="shared" si="31"/>
        <v>0</v>
      </c>
      <c r="F138" s="284" t="s">
        <v>96</v>
      </c>
      <c r="G138" s="244">
        <f t="shared" si="32"/>
        <v>0</v>
      </c>
      <c r="H138" s="205">
        <v>10</v>
      </c>
      <c r="I138" s="208">
        <f t="shared" si="33"/>
        <v>1</v>
      </c>
      <c r="J138" s="225">
        <f t="shared" si="34"/>
        <v>0</v>
      </c>
    </row>
    <row r="139" spans="1:10" ht="11.25" hidden="1">
      <c r="A139" s="120" t="s">
        <v>202</v>
      </c>
      <c r="B139" s="200" t="s">
        <v>191</v>
      </c>
      <c r="C139" s="282">
        <v>1000</v>
      </c>
      <c r="D139" s="286"/>
      <c r="E139" s="232">
        <f t="shared" si="31"/>
        <v>0</v>
      </c>
      <c r="F139" s="284" t="s">
        <v>96</v>
      </c>
      <c r="G139" s="244">
        <f t="shared" si="32"/>
        <v>0</v>
      </c>
      <c r="H139" s="205">
        <v>10</v>
      </c>
      <c r="I139" s="208">
        <f t="shared" si="33"/>
        <v>1</v>
      </c>
      <c r="J139" s="225">
        <f t="shared" si="34"/>
        <v>0</v>
      </c>
    </row>
    <row r="140" spans="1:10" ht="11.25" hidden="1">
      <c r="A140" s="120" t="s">
        <v>202</v>
      </c>
      <c r="B140" s="200" t="s">
        <v>192</v>
      </c>
      <c r="C140" s="282">
        <v>8000</v>
      </c>
      <c r="D140" s="286"/>
      <c r="E140" s="232">
        <f t="shared" si="31"/>
        <v>0</v>
      </c>
      <c r="F140" s="284" t="s">
        <v>96</v>
      </c>
      <c r="G140" s="244">
        <f t="shared" si="32"/>
        <v>0</v>
      </c>
      <c r="H140" s="205">
        <v>5</v>
      </c>
      <c r="I140" s="208">
        <f t="shared" si="33"/>
        <v>2</v>
      </c>
      <c r="J140" s="225">
        <f t="shared" si="34"/>
        <v>0</v>
      </c>
    </row>
    <row r="141" spans="1:10" ht="11.25" hidden="1">
      <c r="A141" s="120" t="s">
        <v>202</v>
      </c>
      <c r="B141" s="200" t="s">
        <v>193</v>
      </c>
      <c r="C141" s="282">
        <v>5000</v>
      </c>
      <c r="D141" s="286"/>
      <c r="E141" s="232">
        <f t="shared" si="31"/>
        <v>0</v>
      </c>
      <c r="F141" s="284" t="s">
        <v>96</v>
      </c>
      <c r="G141" s="244">
        <f t="shared" si="32"/>
        <v>0</v>
      </c>
      <c r="H141" s="205">
        <v>10</v>
      </c>
      <c r="I141" s="208">
        <f t="shared" si="33"/>
        <v>1</v>
      </c>
      <c r="J141" s="225">
        <f t="shared" si="34"/>
        <v>0</v>
      </c>
    </row>
    <row r="142" spans="1:10" ht="11.25" hidden="1">
      <c r="A142" s="120" t="s">
        <v>202</v>
      </c>
      <c r="B142" s="200" t="s">
        <v>194</v>
      </c>
      <c r="C142" s="282">
        <v>6000</v>
      </c>
      <c r="D142" s="286"/>
      <c r="E142" s="232">
        <f t="shared" si="31"/>
        <v>0</v>
      </c>
      <c r="F142" s="284" t="s">
        <v>96</v>
      </c>
      <c r="G142" s="244">
        <f t="shared" si="32"/>
        <v>0</v>
      </c>
      <c r="H142" s="205">
        <v>15</v>
      </c>
      <c r="I142" s="208">
        <f t="shared" si="33"/>
        <v>0.6666666666666666</v>
      </c>
      <c r="J142" s="225">
        <f t="shared" si="34"/>
        <v>0</v>
      </c>
    </row>
    <row r="143" spans="1:10" ht="11.25" hidden="1">
      <c r="A143" s="120" t="s">
        <v>202</v>
      </c>
      <c r="B143" s="209" t="s">
        <v>202</v>
      </c>
      <c r="C143" s="240"/>
      <c r="D143" s="210"/>
      <c r="E143" s="233">
        <f>SUM(E133:E142)</f>
        <v>0</v>
      </c>
      <c r="F143" s="211"/>
      <c r="G143" s="233">
        <f>SUM(G133:G142)</f>
        <v>0</v>
      </c>
      <c r="H143" s="205"/>
      <c r="I143" s="205"/>
      <c r="J143" s="227">
        <f>SUM(J133:J142)</f>
        <v>0</v>
      </c>
    </row>
    <row r="144" ht="11.25">
      <c r="E144" s="237"/>
    </row>
    <row r="145" ht="11.25">
      <c r="E145" s="237"/>
    </row>
    <row r="146" ht="11.25">
      <c r="E146" s="237"/>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scale="83" r:id="rId1"/>
  <rowBreaks count="1" manualBreakCount="1">
    <brk id="16" max="11" man="1"/>
  </rowBreaks>
</worksheet>
</file>

<file path=xl/worksheets/sheet7.xml><?xml version="1.0" encoding="utf-8"?>
<worksheet xmlns="http://schemas.openxmlformats.org/spreadsheetml/2006/main" xmlns:r="http://schemas.openxmlformats.org/officeDocument/2006/relationships">
  <sheetPr codeName="Sheet9">
    <tabColor rgb="FF7030A0"/>
  </sheetPr>
  <dimension ref="A1:O39"/>
  <sheetViews>
    <sheetView zoomScaleSheetLayoutView="100" zoomScalePageLayoutView="0" workbookViewId="0" topLeftCell="A1">
      <selection activeCell="A1" sqref="A1"/>
    </sheetView>
  </sheetViews>
  <sheetFormatPr defaultColWidth="11.421875" defaultRowHeight="12.75"/>
  <cols>
    <col min="1" max="1" width="44.7109375" style="110" customWidth="1"/>
    <col min="2" max="2" width="9.00390625" style="110" hidden="1" customWidth="1"/>
    <col min="3" max="3" width="10.57421875" style="110" customWidth="1"/>
    <col min="4" max="13" width="10.421875" style="105" customWidth="1"/>
    <col min="14" max="16384" width="11.421875" style="105" customWidth="1"/>
  </cols>
  <sheetData>
    <row r="1" ht="11.25">
      <c r="A1" s="111" t="str">
        <f>'Front Cover'!A8:M8</f>
        <v>England Hockey</v>
      </c>
    </row>
    <row r="2" ht="11.25">
      <c r="A2" s="110" t="str">
        <f>'Front Cover'!A10:M10</f>
        <v>Non-Asset Owning Club</v>
      </c>
    </row>
    <row r="3" spans="1:3" ht="11.25">
      <c r="A3" s="111" t="s">
        <v>22</v>
      </c>
      <c r="B3" s="111"/>
      <c r="C3" s="111"/>
    </row>
    <row r="4" ht="11.25">
      <c r="A4" s="111" t="s">
        <v>10</v>
      </c>
    </row>
    <row r="5" spans="1:15" ht="28.5" customHeight="1">
      <c r="A5" s="288" t="s">
        <v>285</v>
      </c>
      <c r="B5" s="289"/>
      <c r="C5" s="290" t="s">
        <v>283</v>
      </c>
      <c r="D5" s="290" t="s">
        <v>109</v>
      </c>
      <c r="E5" s="290" t="s">
        <v>110</v>
      </c>
      <c r="F5" s="290" t="s">
        <v>111</v>
      </c>
      <c r="G5" s="290" t="s">
        <v>112</v>
      </c>
      <c r="H5" s="290" t="s">
        <v>113</v>
      </c>
      <c r="I5" s="290" t="s">
        <v>266</v>
      </c>
      <c r="J5" s="290" t="s">
        <v>267</v>
      </c>
      <c r="K5" s="290" t="s">
        <v>268</v>
      </c>
      <c r="L5" s="290" t="s">
        <v>269</v>
      </c>
      <c r="M5" s="290" t="s">
        <v>270</v>
      </c>
      <c r="O5" s="290" t="s">
        <v>264</v>
      </c>
    </row>
    <row r="6" spans="1:4" ht="12.75" customHeight="1">
      <c r="A6" s="111" t="s">
        <v>2</v>
      </c>
      <c r="D6" s="134"/>
    </row>
    <row r="7" spans="1:15" ht="12.75" customHeight="1">
      <c r="A7" s="110" t="s">
        <v>311</v>
      </c>
      <c r="D7" s="106">
        <f>'Input - Club Income'!B109</f>
        <v>17120</v>
      </c>
      <c r="E7" s="106">
        <f>'Input - Club Income'!C109*(1+'Input Flags'!$C$8)^1</f>
        <v>17291.2</v>
      </c>
      <c r="F7" s="106">
        <f>'Input - Club Income'!D109*(1+'Input Flags'!$C$8)^2</f>
        <v>17464.111999999997</v>
      </c>
      <c r="G7" s="106">
        <f>'Input - Club Income'!E109*(1+'Input Flags'!$C$8)^3</f>
        <v>17638.75312</v>
      </c>
      <c r="H7" s="106">
        <f>'Input - Club Income'!F109*(1+'Input Flags'!$C$8)^4</f>
        <v>17815.1406512</v>
      </c>
      <c r="I7" s="106">
        <f>'Input - Club Income'!G109*(1+'Input Flags'!$C$8)^5</f>
        <v>17993.292057712002</v>
      </c>
      <c r="J7" s="106">
        <f>'Input - Club Income'!H109*(1+'Input Flags'!$C$8)^6</f>
        <v>18173.224978289123</v>
      </c>
      <c r="K7" s="106">
        <f>'Input - Club Income'!I109*(1+'Input Flags'!$C$8)^7</f>
        <v>18354.957228072013</v>
      </c>
      <c r="L7" s="106">
        <f>'Input - Club Income'!J109*(1+'Input Flags'!$C$8)^8</f>
        <v>18538.506800352734</v>
      </c>
      <c r="M7" s="106">
        <f>'Input - Club Income'!K109*(1+'Input Flags'!$C$8)^9</f>
        <v>18723.89186835626</v>
      </c>
      <c r="O7" s="106">
        <f>SUM(C7:M7)/10</f>
        <v>17911.307870398214</v>
      </c>
    </row>
    <row r="8" spans="1:15" ht="12.75" customHeight="1">
      <c r="A8" s="110" t="s">
        <v>368</v>
      </c>
      <c r="D8" s="106">
        <f>'Input - Club Income'!B111</f>
        <v>2700</v>
      </c>
      <c r="E8" s="106">
        <f>'Input - Club Income'!C111*(1+'Input Flags'!$C$7)^1</f>
        <v>2700</v>
      </c>
      <c r="F8" s="106">
        <f>'Input - Club Income'!D111*(1+'Input Flags'!$C$7)^2</f>
        <v>2700</v>
      </c>
      <c r="G8" s="106">
        <f>'Input - Club Income'!E111*(1+'Input Flags'!$C$7)^3</f>
        <v>2700</v>
      </c>
      <c r="H8" s="106">
        <f>'Input - Club Income'!F111*(1+'Input Flags'!$C$7)^4</f>
        <v>2700</v>
      </c>
      <c r="I8" s="106">
        <f>'Input - Club Income'!G111*(1+'Input Flags'!$C$7)^5</f>
        <v>2700</v>
      </c>
      <c r="J8" s="106">
        <f>'Input - Club Income'!H111*(1+'Input Flags'!$C$7)^6</f>
        <v>2700</v>
      </c>
      <c r="K8" s="106">
        <f>'Input - Club Income'!I111*(1+'Input Flags'!$C$7)^7</f>
        <v>2700</v>
      </c>
      <c r="L8" s="106">
        <f>'Input - Club Income'!J111*(1+'Input Flags'!$C$7)^8</f>
        <v>2700</v>
      </c>
      <c r="M8" s="106">
        <f>'Input - Club Income'!K111*(1+'Input Flags'!$C$7)^9</f>
        <v>2700</v>
      </c>
      <c r="O8" s="106">
        <f>SUM(C8:M8)/10</f>
        <v>2700</v>
      </c>
    </row>
    <row r="9" spans="1:15" ht="12.75" customHeight="1">
      <c r="A9" s="110" t="s">
        <v>305</v>
      </c>
      <c r="B9" s="110" t="s">
        <v>99</v>
      </c>
      <c r="D9" s="106">
        <f>'Input - Club Income'!B107</f>
        <v>8400</v>
      </c>
      <c r="E9" s="106">
        <f>'Input - Club Income'!C107*(1+'Input Flags'!$C$9)^1</f>
        <v>8484</v>
      </c>
      <c r="F9" s="106">
        <f>'Input - Club Income'!D107*(1+'Input Flags'!$C$9)^2</f>
        <v>8568.84</v>
      </c>
      <c r="G9" s="106">
        <f>'Input - Club Income'!E107*(1+'Input Flags'!$C$9)^3</f>
        <v>8654.528400000001</v>
      </c>
      <c r="H9" s="106">
        <f>'Input - Club Income'!F107*(1+'Input Flags'!$C$9)^4</f>
        <v>8741.073684</v>
      </c>
      <c r="I9" s="106">
        <f>'Input - Club Income'!G107*(1+'Input Flags'!$C$9)^5</f>
        <v>8828.48442084</v>
      </c>
      <c r="J9" s="106">
        <f>'Input - Club Income'!H107*(1+'Input Flags'!$C$9)^6</f>
        <v>8916.7692650484</v>
      </c>
      <c r="K9" s="106">
        <f>'Input - Club Income'!I107*(1+'Input Flags'!$C$9)^7</f>
        <v>9005.936957698885</v>
      </c>
      <c r="L9" s="106">
        <f>'Input - Club Income'!J107*(1+'Input Flags'!$C$9)^8</f>
        <v>9095.996327275874</v>
      </c>
      <c r="M9" s="106">
        <f>'Input - Club Income'!K107*(1+'Input Flags'!$C$9)^9</f>
        <v>9186.956290548635</v>
      </c>
      <c r="O9" s="106">
        <f>SUM(C9:M9)/10</f>
        <v>8788.25853454118</v>
      </c>
    </row>
    <row r="10" spans="1:15" ht="12.75" customHeight="1">
      <c r="A10" s="110" t="s">
        <v>347</v>
      </c>
      <c r="D10" s="106">
        <f>'Input - Club Income'!B110</f>
        <v>2500</v>
      </c>
      <c r="E10" s="106">
        <f>'Input - Club Income'!C110*(1+'Input Flags'!$C$10)^1</f>
        <v>2500</v>
      </c>
      <c r="F10" s="106">
        <f>'Input - Club Income'!D110*(1+'Input Flags'!$C$10)^2</f>
        <v>2500</v>
      </c>
      <c r="G10" s="106">
        <f>'Input - Club Income'!E110*(1+'Input Flags'!$C$10)^3</f>
        <v>2500</v>
      </c>
      <c r="H10" s="106">
        <f>'Input - Club Income'!F110*(1+'Input Flags'!$C$10)^4</f>
        <v>2500</v>
      </c>
      <c r="I10" s="106">
        <f>'Input - Club Income'!G110*(1+'Input Flags'!$C$10)^5</f>
        <v>2500</v>
      </c>
      <c r="J10" s="106">
        <f>'Input - Club Income'!H110*(1+'Input Flags'!$C$10)^6</f>
        <v>2500</v>
      </c>
      <c r="K10" s="106">
        <f>'Input - Club Income'!I110*(1+'Input Flags'!$C$10)^7</f>
        <v>2500</v>
      </c>
      <c r="L10" s="106">
        <f>'Input - Club Income'!J110*(1+'Input Flags'!$C$10)^8</f>
        <v>2500</v>
      </c>
      <c r="M10" s="106">
        <f>'Input - Club Income'!K110*(1+'Input Flags'!$C$10)^9</f>
        <v>2500</v>
      </c>
      <c r="O10" s="106">
        <f>SUM(C10:M10)/10</f>
        <v>2500</v>
      </c>
    </row>
    <row r="11" spans="1:15" ht="12.75" customHeight="1">
      <c r="A11" s="110" t="s">
        <v>378</v>
      </c>
      <c r="D11" s="106">
        <f>'Input - Club Income'!B112</f>
        <v>3000</v>
      </c>
      <c r="E11" s="106">
        <f>'Input - Club Income'!C112*(1+'Input Flags'!$C$12)^1</f>
        <v>3000</v>
      </c>
      <c r="F11" s="106">
        <f>'Input - Club Income'!D112*(1+'Input Flags'!$C$12)^2</f>
        <v>3000</v>
      </c>
      <c r="G11" s="106">
        <f>'Input - Club Income'!E112*(1+'Input Flags'!$C$12)^3</f>
        <v>3000</v>
      </c>
      <c r="H11" s="106">
        <f>'Input - Club Income'!F112*(1+'Input Flags'!$C$12)^4</f>
        <v>3000</v>
      </c>
      <c r="I11" s="106">
        <f>'Input - Club Income'!G112*(1+'Input Flags'!$C$12)^5</f>
        <v>3000</v>
      </c>
      <c r="J11" s="106">
        <f>'Input - Club Income'!H112*(1+'Input Flags'!$C$12)^6</f>
        <v>3000</v>
      </c>
      <c r="K11" s="106">
        <f>'Input - Club Income'!I112*(1+'Input Flags'!$C$12)^7</f>
        <v>3000</v>
      </c>
      <c r="L11" s="106">
        <f>'Input - Club Income'!J112*(1+'Input Flags'!$C$12)^8</f>
        <v>3000</v>
      </c>
      <c r="M11" s="106">
        <f>'Input - Club Income'!K112*(1+'Input Flags'!$C$12)^9</f>
        <v>3000</v>
      </c>
      <c r="O11" s="106">
        <f>SUM(C11:M11)/10</f>
        <v>3000</v>
      </c>
    </row>
    <row r="12" spans="1:15" ht="12.75" customHeight="1">
      <c r="A12" s="135" t="s">
        <v>1</v>
      </c>
      <c r="B12" s="110" t="s">
        <v>99</v>
      </c>
      <c r="C12" s="132">
        <f aca="true" t="shared" si="0" ref="C12:M12">SUM(C7:C10)</f>
        <v>0</v>
      </c>
      <c r="D12" s="132">
        <f t="shared" si="0"/>
        <v>30720</v>
      </c>
      <c r="E12" s="132">
        <f t="shared" si="0"/>
        <v>30975.2</v>
      </c>
      <c r="F12" s="132">
        <f t="shared" si="0"/>
        <v>31232.951999999997</v>
      </c>
      <c r="G12" s="132">
        <f t="shared" si="0"/>
        <v>31493.281520000004</v>
      </c>
      <c r="H12" s="132">
        <f t="shared" si="0"/>
        <v>31756.2143352</v>
      </c>
      <c r="I12" s="132">
        <f t="shared" si="0"/>
        <v>32021.776478552005</v>
      </c>
      <c r="J12" s="132">
        <f t="shared" si="0"/>
        <v>32289.994243337525</v>
      </c>
      <c r="K12" s="132">
        <f t="shared" si="0"/>
        <v>32560.8941857709</v>
      </c>
      <c r="L12" s="132">
        <f t="shared" si="0"/>
        <v>32834.50312762861</v>
      </c>
      <c r="M12" s="132">
        <f t="shared" si="0"/>
        <v>33110.84815890489</v>
      </c>
      <c r="O12" s="255">
        <f aca="true" t="shared" si="1" ref="O12:O28">SUM(C12:M12)/10</f>
        <v>31899.566404939385</v>
      </c>
    </row>
    <row r="13" spans="1:15" ht="12.75" customHeight="1">
      <c r="A13" s="110" t="s">
        <v>379</v>
      </c>
      <c r="C13" s="141"/>
      <c r="D13" s="322">
        <f>'Input - AGP Hire'!$G$16</f>
        <v>16500</v>
      </c>
      <c r="E13" s="322">
        <f>'Input - AGP Hire'!$G$16*(1+'Input Flags'!$C$13)^1</f>
        <v>16500</v>
      </c>
      <c r="F13" s="322">
        <f>'Input - AGP Hire'!$G$16*(1+'Input Flags'!$C$13)^2</f>
        <v>16500</v>
      </c>
      <c r="G13" s="322">
        <f>'Input - AGP Hire'!$G$16*(1+'Input Flags'!$C$13)^3</f>
        <v>16500</v>
      </c>
      <c r="H13" s="322">
        <f>'Input - AGP Hire'!$G$16*(1+'Input Flags'!$C$13)^4</f>
        <v>16500</v>
      </c>
      <c r="I13" s="322">
        <f>'Input - AGP Hire'!$G$16*(1+'Input Flags'!$C$13)^5</f>
        <v>16500</v>
      </c>
      <c r="J13" s="322">
        <f>'Input - AGP Hire'!$G$16*(1+'Input Flags'!$C$13)^6</f>
        <v>16500</v>
      </c>
      <c r="K13" s="322">
        <f>'Input - AGP Hire'!$G$16*(1+'Input Flags'!$C$13)^7</f>
        <v>16500</v>
      </c>
      <c r="L13" s="322">
        <f>'Input - AGP Hire'!$G$16*(1+'Input Flags'!$C$13)^8</f>
        <v>16500</v>
      </c>
      <c r="M13" s="322">
        <f>'Input - AGP Hire'!$G$16*(1+'Input Flags'!$C$13)^9</f>
        <v>16500</v>
      </c>
      <c r="O13" s="322"/>
    </row>
    <row r="14" spans="1:15" ht="12.75" customHeight="1">
      <c r="A14" s="110" t="s">
        <v>373</v>
      </c>
      <c r="B14" s="146" t="s">
        <v>279</v>
      </c>
      <c r="C14" s="148"/>
      <c r="D14" s="129">
        <f>'Input - Other Costs'!$B$18</f>
        <v>4050</v>
      </c>
      <c r="E14" s="129">
        <f>'Input - Other Costs'!$B$18*(1+'Input Flags'!$C$11)^1</f>
        <v>4050</v>
      </c>
      <c r="F14" s="129">
        <f>'Input - Other Costs'!$B$18*(1+'Input Flags'!$C$11)^2</f>
        <v>4050</v>
      </c>
      <c r="G14" s="129">
        <f>'Input - Other Costs'!$B$18*(1+'Input Flags'!$C$11)^3</f>
        <v>4050</v>
      </c>
      <c r="H14" s="129">
        <f>'Input - Other Costs'!$B$18*(1+'Input Flags'!$C$11)^4</f>
        <v>4050</v>
      </c>
      <c r="I14" s="129">
        <f>'Input - Other Costs'!$B$18*(1+'Input Flags'!$C$11)^5</f>
        <v>4050</v>
      </c>
      <c r="J14" s="129">
        <f>'Input - Other Costs'!$B$18*(1+'Input Flags'!$C$11)^6</f>
        <v>4050</v>
      </c>
      <c r="K14" s="129">
        <f>'Input - Other Costs'!$B$18*(1+'Input Flags'!$C$11)^7</f>
        <v>4050</v>
      </c>
      <c r="L14" s="129">
        <f>'Input - Other Costs'!$B$18*(1+'Input Flags'!$C$11)^8</f>
        <v>4050</v>
      </c>
      <c r="M14" s="129">
        <f>'Input - Other Costs'!$B$18*(1+'Input Flags'!$C$11)^9</f>
        <v>4050</v>
      </c>
      <c r="O14" s="106">
        <f t="shared" si="1"/>
        <v>4050</v>
      </c>
    </row>
    <row r="15" spans="1:15" ht="12.75" customHeight="1">
      <c r="A15" s="110" t="s">
        <v>380</v>
      </c>
      <c r="B15" s="146"/>
      <c r="C15" s="148"/>
      <c r="D15" s="129">
        <f>'Input Flags'!$I$29</f>
        <v>758.3333333333334</v>
      </c>
      <c r="E15" s="129">
        <f>'Input Flags'!$I$29*(1+'Input Flags'!$C$15)^1</f>
        <v>758.3333333333334</v>
      </c>
      <c r="F15" s="129">
        <f>'Input Flags'!$I$29*(1+'Input Flags'!$C$15)^2</f>
        <v>758.3333333333334</v>
      </c>
      <c r="G15" s="129">
        <f>'Input Flags'!$I$29*(1+'Input Flags'!$C$15)^3</f>
        <v>758.3333333333334</v>
      </c>
      <c r="H15" s="129">
        <f>'Input Flags'!$I$29*(1+'Input Flags'!$C$15)^4</f>
        <v>758.3333333333334</v>
      </c>
      <c r="I15" s="129">
        <f>'Input Flags'!$I$29*(1+'Input Flags'!$C$15)^5</f>
        <v>758.3333333333334</v>
      </c>
      <c r="J15" s="129">
        <f>'Input Flags'!$I$29*(1+'Input Flags'!$C$15)^6</f>
        <v>758.3333333333334</v>
      </c>
      <c r="K15" s="129">
        <f>'Input Flags'!$I$29*(1+'Input Flags'!$C$15)^7</f>
        <v>758.3333333333334</v>
      </c>
      <c r="L15" s="129">
        <f>'Input Flags'!$I$29*(1+'Input Flags'!$C$15)^8</f>
        <v>758.3333333333334</v>
      </c>
      <c r="M15" s="129">
        <f>'Input Flags'!$I$29*(1+'Input Flags'!$C$15)^9</f>
        <v>758.3333333333334</v>
      </c>
      <c r="O15" s="106"/>
    </row>
    <row r="16" spans="1:15" ht="12.75" customHeight="1">
      <c r="A16" s="119" t="s">
        <v>47</v>
      </c>
      <c r="B16" s="110" t="s">
        <v>280</v>
      </c>
      <c r="C16" s="148"/>
      <c r="D16" s="130">
        <f>('Input Flags'!$C$20*D12)</f>
        <v>614.4</v>
      </c>
      <c r="E16" s="130">
        <f>'Input Flags'!$C$20*E12</f>
        <v>619.504</v>
      </c>
      <c r="F16" s="130">
        <f>'Input Flags'!$C$20*F12</f>
        <v>624.65904</v>
      </c>
      <c r="G16" s="130">
        <f>'Input Flags'!$C$20*G12</f>
        <v>629.8656304000001</v>
      </c>
      <c r="H16" s="130">
        <f>'Input Flags'!$C$20*H12</f>
        <v>635.1242867039999</v>
      </c>
      <c r="I16" s="130">
        <f>'Input Flags'!$C$20*I12</f>
        <v>640.4355295710401</v>
      </c>
      <c r="J16" s="130">
        <f>'Input Flags'!$C$20*J12</f>
        <v>645.7998848667505</v>
      </c>
      <c r="K16" s="130">
        <f>'Input Flags'!$C$20*K12</f>
        <v>651.217883715418</v>
      </c>
      <c r="L16" s="130">
        <f>'Input Flags'!$C$20*L12</f>
        <v>656.6900625525722</v>
      </c>
      <c r="M16" s="130">
        <f>'Input Flags'!$C$20*M12</f>
        <v>662.2169631780978</v>
      </c>
      <c r="O16" s="106">
        <f t="shared" si="1"/>
        <v>637.9913280987879</v>
      </c>
    </row>
    <row r="17" spans="1:15" ht="12.75" customHeight="1">
      <c r="A17" s="119" t="s">
        <v>332</v>
      </c>
      <c r="C17" s="148"/>
      <c r="D17" s="130">
        <f>'Input - Other Costs'!$B$26</f>
        <v>1750</v>
      </c>
      <c r="E17" s="130">
        <f>'Input - Other Costs'!$B$26*(1+'Input Flags'!$C$16)^1</f>
        <v>1750</v>
      </c>
      <c r="F17" s="130">
        <f>'Input - Other Costs'!$B$26*(1+'Input Flags'!$C$16)^2</f>
        <v>1750</v>
      </c>
      <c r="G17" s="130">
        <f>'Input - Other Costs'!$B$26*(1+'Input Flags'!$C$16)^3</f>
        <v>1750</v>
      </c>
      <c r="H17" s="130">
        <f>'Input - Other Costs'!$B$26*(1+'Input Flags'!$C$16)^4</f>
        <v>1750</v>
      </c>
      <c r="I17" s="130">
        <f>'Input - Other Costs'!$B$26*(1+'Input Flags'!$C$16)^5</f>
        <v>1750</v>
      </c>
      <c r="J17" s="130">
        <f>'Input - Other Costs'!$B$26*(1+'Input Flags'!$C$16)^6</f>
        <v>1750</v>
      </c>
      <c r="K17" s="130">
        <f>'Input - Other Costs'!$B$26*(1+'Input Flags'!$C$16)^7</f>
        <v>1750</v>
      </c>
      <c r="L17" s="130">
        <f>'Input - Other Costs'!$B$26*(1+'Input Flags'!$C$16)^8</f>
        <v>1750</v>
      </c>
      <c r="M17" s="130">
        <f>'Input - Other Costs'!$B$26*(1+'Input Flags'!$C$16)^9</f>
        <v>1750</v>
      </c>
      <c r="O17" s="106">
        <f t="shared" si="1"/>
        <v>1750</v>
      </c>
    </row>
    <row r="18" spans="1:15" ht="12.75" customHeight="1">
      <c r="A18" s="119" t="s">
        <v>39</v>
      </c>
      <c r="B18" s="145" t="s">
        <v>281</v>
      </c>
      <c r="C18" s="145"/>
      <c r="D18" s="130">
        <f>'Input - Other Costs'!$B$35</f>
        <v>952.686430056</v>
      </c>
      <c r="E18" s="130">
        <f>('Input - Other Costs'!$B$35)*(1+'Input Flags'!$C$14)^1</f>
        <v>952.686430056</v>
      </c>
      <c r="F18" s="130">
        <f>('Input - Other Costs'!$B$35)*(1+'Input Flags'!$C$14)^2</f>
        <v>952.686430056</v>
      </c>
      <c r="G18" s="130">
        <f>('Input - Other Costs'!$B$35)*(1+'Input Flags'!$C$14)^3</f>
        <v>952.686430056</v>
      </c>
      <c r="H18" s="130">
        <f>('Input - Other Costs'!$B$35)*(1+'Input Flags'!$C$14)^4</f>
        <v>952.686430056</v>
      </c>
      <c r="I18" s="130">
        <f>('Input - Other Costs'!$B$35)*(1+'Input Flags'!$C$14)^5</f>
        <v>952.686430056</v>
      </c>
      <c r="J18" s="130">
        <f>('Input - Other Costs'!$B$35)*(1+'Input Flags'!$C$14)^6</f>
        <v>952.686430056</v>
      </c>
      <c r="K18" s="130">
        <f>('Input - Other Costs'!$B$35)*(1+'Input Flags'!$C$14)^7</f>
        <v>952.686430056</v>
      </c>
      <c r="L18" s="130">
        <f>('Input - Other Costs'!$B$35)*(1+'Input Flags'!$C$14)^8</f>
        <v>952.686430056</v>
      </c>
      <c r="M18" s="130">
        <f>('Input - Other Costs'!$B$35)*(1+'Input Flags'!$C$14)^9</f>
        <v>952.686430056</v>
      </c>
      <c r="O18" s="106">
        <f t="shared" si="1"/>
        <v>952.6864300559998</v>
      </c>
    </row>
    <row r="19" spans="1:15" ht="12.75" customHeight="1">
      <c r="A19" s="119" t="s">
        <v>222</v>
      </c>
      <c r="B19" s="145" t="s">
        <v>281</v>
      </c>
      <c r="C19" s="145"/>
      <c r="D19" s="130">
        <f>'Input - Other Costs'!$B$43</f>
        <v>1400</v>
      </c>
      <c r="E19" s="130">
        <f>('Input - Other Costs'!$B$43)*(1+'Input Flags'!$C$16)^1</f>
        <v>1400</v>
      </c>
      <c r="F19" s="130">
        <f>('Input - Other Costs'!$B$43)*(1+'Input Flags'!$C$16)^2</f>
        <v>1400</v>
      </c>
      <c r="G19" s="130">
        <f>('Input - Other Costs'!$B$43)*(1+'Input Flags'!$C$16)^3</f>
        <v>1400</v>
      </c>
      <c r="H19" s="130">
        <f>('Input - Other Costs'!$B$43)*(1+'Input Flags'!$C$16)^4</f>
        <v>1400</v>
      </c>
      <c r="I19" s="130">
        <f>('Input - Other Costs'!$B$43)*(1+'Input Flags'!$C$16)^5</f>
        <v>1400</v>
      </c>
      <c r="J19" s="130">
        <f>('Input - Other Costs'!$B$43)*(1+'Input Flags'!$C$16)^6</f>
        <v>1400</v>
      </c>
      <c r="K19" s="130">
        <f>('Input - Other Costs'!$B$43)*(1+'Input Flags'!$C$16)^7</f>
        <v>1400</v>
      </c>
      <c r="L19" s="130">
        <f>('Input - Other Costs'!$B$43)*(1+'Input Flags'!$C$16)^8</f>
        <v>1400</v>
      </c>
      <c r="M19" s="130">
        <f>('Input - Other Costs'!$B$43)*(1+'Input Flags'!$C$16)^9</f>
        <v>1400</v>
      </c>
      <c r="O19" s="106">
        <f t="shared" si="1"/>
        <v>1400</v>
      </c>
    </row>
    <row r="20" spans="1:15" ht="12.75" customHeight="1">
      <c r="A20" s="119" t="s">
        <v>63</v>
      </c>
      <c r="B20" s="145" t="s">
        <v>281</v>
      </c>
      <c r="C20" s="145"/>
      <c r="D20" s="130">
        <f>'Input - Other Costs'!$B$49</f>
        <v>3000</v>
      </c>
      <c r="E20" s="130">
        <f>('Input - Other Costs'!$B$49)*(1+'Input Flags'!$C$17)^1</f>
        <v>3000</v>
      </c>
      <c r="F20" s="130">
        <f>('Input - Other Costs'!$B$49)*(1+'Input Flags'!$C$17)^2</f>
        <v>3000</v>
      </c>
      <c r="G20" s="130">
        <f>('Input - Other Costs'!$B$49)*(1+'Input Flags'!$C$17)^3</f>
        <v>3000</v>
      </c>
      <c r="H20" s="130">
        <f>('Input - Other Costs'!$B$49)*(1+'Input Flags'!$C$17)^4</f>
        <v>3000</v>
      </c>
      <c r="I20" s="130">
        <f>('Input - Other Costs'!$B$49)*(1+'Input Flags'!$C$17)^5</f>
        <v>3000</v>
      </c>
      <c r="J20" s="130">
        <f>('Input - Other Costs'!$B$49)*(1+'Input Flags'!$C$17)^6</f>
        <v>3000</v>
      </c>
      <c r="K20" s="130">
        <f>('Input - Other Costs'!$B$49)*(1+'Input Flags'!$C$17)^7</f>
        <v>3000</v>
      </c>
      <c r="L20" s="130">
        <f>('Input - Other Costs'!$B$49)*(1+'Input Flags'!$C$17)^8</f>
        <v>3000</v>
      </c>
      <c r="M20" s="130">
        <f>('Input - Other Costs'!$B$49)*(1+'Input Flags'!$C$17)^9</f>
        <v>3000</v>
      </c>
      <c r="O20" s="106">
        <f t="shared" si="1"/>
        <v>3000</v>
      </c>
    </row>
    <row r="21" spans="1:15" ht="12.75" customHeight="1">
      <c r="A21" s="119"/>
      <c r="B21" s="110" t="s">
        <v>282</v>
      </c>
      <c r="D21" s="287"/>
      <c r="E21" s="287"/>
      <c r="F21" s="287"/>
      <c r="G21" s="287"/>
      <c r="H21" s="287"/>
      <c r="I21" s="287"/>
      <c r="J21" s="287"/>
      <c r="K21" s="287"/>
      <c r="L21" s="287"/>
      <c r="M21" s="287"/>
      <c r="O21" s="106">
        <f t="shared" si="1"/>
        <v>0</v>
      </c>
    </row>
    <row r="22" spans="1:15" ht="12.75" customHeight="1">
      <c r="A22" s="119" t="s">
        <v>11</v>
      </c>
      <c r="B22" s="110" t="s">
        <v>282</v>
      </c>
      <c r="D22" s="130">
        <f>'Input - VAT'!C97</f>
        <v>282.0082371606719</v>
      </c>
      <c r="E22" s="130">
        <f>'Input - VAT'!D97</f>
        <v>282.2123971606719</v>
      </c>
      <c r="F22" s="130">
        <f>'Input - VAT'!E97</f>
        <v>282.4185987606719</v>
      </c>
      <c r="G22" s="130">
        <f>'Input - VAT'!F97</f>
        <v>282.62686237667197</v>
      </c>
      <c r="H22" s="130">
        <f>'Input - VAT'!G97</f>
        <v>282.83720862883195</v>
      </c>
      <c r="I22" s="130">
        <f>'Input - VAT'!H97</f>
        <v>283.04965834351356</v>
      </c>
      <c r="J22" s="130">
        <f>'Input - VAT'!I97</f>
        <v>283.264232555342</v>
      </c>
      <c r="K22" s="130">
        <f>'Input - VAT'!J97</f>
        <v>283.4809525092886</v>
      </c>
      <c r="L22" s="130">
        <f>'Input - VAT'!K97</f>
        <v>283.6998396627748</v>
      </c>
      <c r="M22" s="130">
        <f>'Input - VAT'!L97</f>
        <v>283.92091568779585</v>
      </c>
      <c r="O22" s="106">
        <f t="shared" si="1"/>
        <v>282.95189028462346</v>
      </c>
    </row>
    <row r="23" spans="1:15" ht="12.75" customHeight="1">
      <c r="A23" s="119" t="s">
        <v>256</v>
      </c>
      <c r="B23" s="110" t="s">
        <v>282</v>
      </c>
      <c r="C23" s="130">
        <f>'Input Flags'!$C$23*C12</f>
        <v>0</v>
      </c>
      <c r="D23" s="130">
        <f>'Input Flags'!$C$23*D12</f>
        <v>0</v>
      </c>
      <c r="E23" s="130">
        <f>'Input Flags'!$C$23*E12</f>
        <v>0</v>
      </c>
      <c r="F23" s="130">
        <f>'Input Flags'!$C$23*F12</f>
        <v>0</v>
      </c>
      <c r="G23" s="130">
        <f>'Input Flags'!$C$23*G12</f>
        <v>0</v>
      </c>
      <c r="H23" s="130">
        <f>'Input Flags'!$C$23*H12</f>
        <v>0</v>
      </c>
      <c r="I23" s="130">
        <f>'Input Flags'!$C$23*I12</f>
        <v>0</v>
      </c>
      <c r="J23" s="130">
        <f>'Input Flags'!$C$23*J12</f>
        <v>0</v>
      </c>
      <c r="K23" s="130">
        <f>'Input Flags'!$C$23*K12</f>
        <v>0</v>
      </c>
      <c r="L23" s="130">
        <f>'Input Flags'!$C$23*L12</f>
        <v>0</v>
      </c>
      <c r="M23" s="130">
        <f>'Input Flags'!$C$23*M12</f>
        <v>0</v>
      </c>
      <c r="O23" s="106">
        <f t="shared" si="1"/>
        <v>0</v>
      </c>
    </row>
    <row r="24" spans="1:15" ht="12.75" customHeight="1">
      <c r="A24" s="135" t="s">
        <v>4</v>
      </c>
      <c r="B24" s="144"/>
      <c r="C24" s="132">
        <f>SUM(C14:C23)</f>
        <v>0</v>
      </c>
      <c r="D24" s="132">
        <f>SUM(D13:D23)</f>
        <v>29307.428000550008</v>
      </c>
      <c r="E24" s="132">
        <f aca="true" t="shared" si="2" ref="E24:M24">SUM(E13:E23)</f>
        <v>29312.736160550005</v>
      </c>
      <c r="F24" s="132">
        <f t="shared" si="2"/>
        <v>29318.097402150004</v>
      </c>
      <c r="G24" s="132">
        <f t="shared" si="2"/>
        <v>29323.512256166006</v>
      </c>
      <c r="H24" s="132">
        <f t="shared" si="2"/>
        <v>29328.981258722164</v>
      </c>
      <c r="I24" s="132">
        <f t="shared" si="2"/>
        <v>29334.504951303887</v>
      </c>
      <c r="J24" s="132">
        <f t="shared" si="2"/>
        <v>29340.083880811428</v>
      </c>
      <c r="K24" s="132">
        <f t="shared" si="2"/>
        <v>29345.71859961404</v>
      </c>
      <c r="L24" s="132">
        <f t="shared" si="2"/>
        <v>29351.40966560468</v>
      </c>
      <c r="M24" s="132">
        <f t="shared" si="2"/>
        <v>29357.157642255224</v>
      </c>
      <c r="O24" s="255">
        <f t="shared" si="1"/>
        <v>29331.962981772747</v>
      </c>
    </row>
    <row r="25" spans="1:15" ht="12.75" customHeight="1">
      <c r="A25" s="119" t="s">
        <v>10</v>
      </c>
      <c r="B25" s="145"/>
      <c r="C25" s="130"/>
      <c r="D25" s="130"/>
      <c r="E25" s="131"/>
      <c r="F25" s="131"/>
      <c r="G25" s="131"/>
      <c r="H25" s="131"/>
      <c r="O25" s="106"/>
    </row>
    <row r="26" spans="1:15" s="107" customFormat="1" ht="12.75" customHeight="1" thickBot="1">
      <c r="A26" s="111" t="s">
        <v>284</v>
      </c>
      <c r="B26" s="111"/>
      <c r="C26" s="323">
        <f>C12-C24</f>
        <v>0</v>
      </c>
      <c r="D26" s="323">
        <f>D12-D24</f>
        <v>1412.5719994499923</v>
      </c>
      <c r="E26" s="323">
        <f aca="true" t="shared" si="3" ref="E26:M26">E12-E24</f>
        <v>1662.4638394499962</v>
      </c>
      <c r="F26" s="323">
        <f t="shared" si="3"/>
        <v>1914.8545978499933</v>
      </c>
      <c r="G26" s="323">
        <f t="shared" si="3"/>
        <v>2169.7692638339977</v>
      </c>
      <c r="H26" s="323">
        <f t="shared" si="3"/>
        <v>2427.2330764778344</v>
      </c>
      <c r="I26" s="323">
        <f t="shared" si="3"/>
        <v>2687.271527248118</v>
      </c>
      <c r="J26" s="323">
        <f t="shared" si="3"/>
        <v>2949.9103625260977</v>
      </c>
      <c r="K26" s="323">
        <f t="shared" si="3"/>
        <v>3215.17558615686</v>
      </c>
      <c r="L26" s="323">
        <f t="shared" si="3"/>
        <v>3483.0934620239314</v>
      </c>
      <c r="M26" s="323">
        <f t="shared" si="3"/>
        <v>3753.6905166496654</v>
      </c>
      <c r="O26" s="256">
        <f t="shared" si="1"/>
        <v>2567.6034231666486</v>
      </c>
    </row>
    <row r="27" spans="1:15" s="107" customFormat="1" ht="12.75" customHeight="1" thickTop="1">
      <c r="A27" s="111"/>
      <c r="B27" s="111"/>
      <c r="C27" s="136"/>
      <c r="D27" s="136"/>
      <c r="E27" s="136"/>
      <c r="F27" s="136"/>
      <c r="G27" s="136"/>
      <c r="H27" s="137" t="s">
        <v>10</v>
      </c>
      <c r="I27" s="136"/>
      <c r="J27" s="136"/>
      <c r="K27" s="136"/>
      <c r="L27" s="136"/>
      <c r="M27" s="136"/>
      <c r="O27" s="133"/>
    </row>
    <row r="28" spans="1:15" ht="12.75" customHeight="1">
      <c r="A28" s="138" t="s">
        <v>257</v>
      </c>
      <c r="B28" s="147"/>
      <c r="C28" s="324">
        <f>C26+C15</f>
        <v>0</v>
      </c>
      <c r="D28" s="324">
        <f>D26+D15</f>
        <v>2170.905332783326</v>
      </c>
      <c r="E28" s="324">
        <f aca="true" t="shared" si="4" ref="E28:M28">E26+E15</f>
        <v>2420.7971727833296</v>
      </c>
      <c r="F28" s="324">
        <f t="shared" si="4"/>
        <v>2673.187931183327</v>
      </c>
      <c r="G28" s="324">
        <f t="shared" si="4"/>
        <v>2928.102597167331</v>
      </c>
      <c r="H28" s="324">
        <f t="shared" si="4"/>
        <v>3185.566409811168</v>
      </c>
      <c r="I28" s="324">
        <f t="shared" si="4"/>
        <v>3445.6048605814517</v>
      </c>
      <c r="J28" s="324">
        <f t="shared" si="4"/>
        <v>3708.243695859431</v>
      </c>
      <c r="K28" s="324">
        <f t="shared" si="4"/>
        <v>3973.5089194901934</v>
      </c>
      <c r="L28" s="324">
        <f t="shared" si="4"/>
        <v>4241.426795357264</v>
      </c>
      <c r="M28" s="324">
        <f t="shared" si="4"/>
        <v>4512.023849982998</v>
      </c>
      <c r="O28" s="106">
        <f t="shared" si="1"/>
        <v>3325.936756499982</v>
      </c>
    </row>
    <row r="29" ht="12.75" customHeight="1">
      <c r="F29" s="108"/>
    </row>
    <row r="30" spans="1:13" ht="11.25">
      <c r="A30" s="111" t="s">
        <v>28</v>
      </c>
      <c r="D30" s="365" t="s">
        <v>109</v>
      </c>
      <c r="E30" s="365" t="s">
        <v>110</v>
      </c>
      <c r="F30" s="365" t="s">
        <v>111</v>
      </c>
      <c r="G30" s="365" t="s">
        <v>112</v>
      </c>
      <c r="H30" s="365" t="s">
        <v>113</v>
      </c>
      <c r="I30" s="365" t="s">
        <v>266</v>
      </c>
      <c r="J30" s="365" t="s">
        <v>267</v>
      </c>
      <c r="K30" s="365" t="s">
        <v>268</v>
      </c>
      <c r="L30" s="365" t="s">
        <v>269</v>
      </c>
      <c r="M30" s="365" t="s">
        <v>270</v>
      </c>
    </row>
    <row r="31" spans="1:13" ht="11.25">
      <c r="A31" s="139"/>
      <c r="D31" s="366"/>
      <c r="E31" s="366"/>
      <c r="F31" s="366"/>
      <c r="G31" s="366"/>
      <c r="H31" s="366"/>
      <c r="I31" s="366"/>
      <c r="J31" s="366"/>
      <c r="K31" s="366"/>
      <c r="L31" s="366"/>
      <c r="M31" s="366"/>
    </row>
    <row r="32" spans="1:3" ht="11.25">
      <c r="A32" s="110" t="s">
        <v>6</v>
      </c>
      <c r="B32" s="111"/>
      <c r="C32" s="111"/>
    </row>
    <row r="33" spans="1:15" ht="11.25">
      <c r="A33" s="110" t="s">
        <v>326</v>
      </c>
      <c r="B33" s="111"/>
      <c r="C33" s="111"/>
      <c r="D33" s="106">
        <f>'Input - Club Income'!B115</f>
        <v>3000</v>
      </c>
      <c r="E33" s="106">
        <f>'Input - Club Income'!C115</f>
        <v>3000</v>
      </c>
      <c r="F33" s="106">
        <f>'Input - Club Income'!D115</f>
        <v>3000</v>
      </c>
      <c r="G33" s="106">
        <f>'Input - Club Income'!E115</f>
        <v>3000</v>
      </c>
      <c r="H33" s="106">
        <f>'Input - Club Income'!F115</f>
        <v>3000</v>
      </c>
      <c r="I33" s="106">
        <f>'Input - Club Income'!G115</f>
        <v>3000</v>
      </c>
      <c r="J33" s="106">
        <f>'Input - Club Income'!H115</f>
        <v>3000</v>
      </c>
      <c r="K33" s="106">
        <f>'Input - Club Income'!I115</f>
        <v>3000</v>
      </c>
      <c r="L33" s="106">
        <f>'Input - Club Income'!J115</f>
        <v>3000</v>
      </c>
      <c r="M33" s="106">
        <f>'Input - Club Income'!K115</f>
        <v>3000</v>
      </c>
      <c r="O33" s="106">
        <f>SUM(C33:M33)/10</f>
        <v>3000</v>
      </c>
    </row>
    <row r="34" spans="1:15" ht="11.25">
      <c r="A34" s="110" t="s">
        <v>381</v>
      </c>
      <c r="B34" s="111"/>
      <c r="C34" s="111"/>
      <c r="D34" s="106">
        <f>'Input - Club Income'!B116</f>
        <v>3600</v>
      </c>
      <c r="E34" s="106">
        <f>'Input - Club Income'!C116</f>
        <v>3600</v>
      </c>
      <c r="F34" s="106">
        <f>'Input - Club Income'!D116</f>
        <v>3600</v>
      </c>
      <c r="G34" s="106">
        <f>'Input - Club Income'!E116</f>
        <v>3600</v>
      </c>
      <c r="H34" s="106">
        <f>'Input - Club Income'!F116</f>
        <v>3600</v>
      </c>
      <c r="I34" s="106">
        <f>'Input - Club Income'!G116</f>
        <v>3600</v>
      </c>
      <c r="J34" s="106">
        <f>'Input - Club Income'!H116</f>
        <v>3600</v>
      </c>
      <c r="K34" s="106">
        <f>'Input - Club Income'!I116</f>
        <v>3600</v>
      </c>
      <c r="L34" s="106">
        <f>'Input - Club Income'!J116</f>
        <v>3600</v>
      </c>
      <c r="M34" s="106">
        <f>'Input - Club Income'!K116</f>
        <v>3600</v>
      </c>
      <c r="O34" s="106">
        <f>SUM(C34:M34)/10</f>
        <v>3600</v>
      </c>
    </row>
    <row r="35" spans="4:8" ht="11.25">
      <c r="D35" s="140"/>
      <c r="E35" s="140"/>
      <c r="F35" s="140"/>
      <c r="G35" s="140"/>
      <c r="H35" s="109"/>
    </row>
    <row r="36" spans="1:15" s="113" customFormat="1" ht="11.25">
      <c r="A36" s="135" t="s">
        <v>3</v>
      </c>
      <c r="B36" s="135"/>
      <c r="C36" s="135"/>
      <c r="D36" s="141">
        <f aca="true" t="shared" si="5" ref="D36:M36">SUM(D33:D34)</f>
        <v>6600</v>
      </c>
      <c r="E36" s="141">
        <f t="shared" si="5"/>
        <v>6600</v>
      </c>
      <c r="F36" s="141">
        <f t="shared" si="5"/>
        <v>6600</v>
      </c>
      <c r="G36" s="141">
        <f t="shared" si="5"/>
        <v>6600</v>
      </c>
      <c r="H36" s="132">
        <f t="shared" si="5"/>
        <v>6600</v>
      </c>
      <c r="I36" s="132">
        <f t="shared" si="5"/>
        <v>6600</v>
      </c>
      <c r="J36" s="132">
        <f t="shared" si="5"/>
        <v>6600</v>
      </c>
      <c r="K36" s="132">
        <f t="shared" si="5"/>
        <v>6600</v>
      </c>
      <c r="L36" s="132">
        <f t="shared" si="5"/>
        <v>6600</v>
      </c>
      <c r="M36" s="132">
        <f t="shared" si="5"/>
        <v>6600</v>
      </c>
      <c r="O36" s="106">
        <f>SUM(C36:M36)/10</f>
        <v>6600</v>
      </c>
    </row>
    <row r="38" spans="1:8" ht="15" customHeight="1">
      <c r="A38" s="111"/>
      <c r="B38" s="142"/>
      <c r="C38" s="142"/>
      <c r="D38" s="142"/>
      <c r="E38" s="142"/>
      <c r="F38" s="142"/>
      <c r="G38" s="142"/>
      <c r="H38" s="112"/>
    </row>
    <row r="39" ht="11.25">
      <c r="D39" s="143"/>
    </row>
  </sheetData>
  <sheetProtection/>
  <mergeCells count="10">
    <mergeCell ref="J30:J31"/>
    <mergeCell ref="K30:K31"/>
    <mergeCell ref="L30:L31"/>
    <mergeCell ref="M30:M31"/>
    <mergeCell ref="H30:H31"/>
    <mergeCell ref="D30:D31"/>
    <mergeCell ref="E30:E31"/>
    <mergeCell ref="F30:F31"/>
    <mergeCell ref="G30:G31"/>
    <mergeCell ref="I30:I31"/>
  </mergeCells>
  <printOptions horizontalCentered="1"/>
  <pageMargins left="0.57" right="0.7480314960629921" top="0.984251968503937" bottom="0.984251968503937" header="0.5118110236220472" footer="0.5118110236220472"/>
  <pageSetup orientation="portrait" paperSize="9" scale="61" r:id="rId1"/>
  <headerFooter alignWithMargins="0">
    <oddFooter>&amp;C&amp;F</oddFooter>
  </headerFooter>
</worksheet>
</file>

<file path=xl/worksheets/sheet8.xml><?xml version="1.0" encoding="utf-8"?>
<worksheet xmlns="http://schemas.openxmlformats.org/spreadsheetml/2006/main" xmlns:r="http://schemas.openxmlformats.org/officeDocument/2006/relationships">
  <sheetPr codeName="Sheet18">
    <tabColor indexed="10"/>
  </sheetPr>
  <dimension ref="A1:M239"/>
  <sheetViews>
    <sheetView zoomScaleSheetLayoutView="75" zoomScalePageLayoutView="0" workbookViewId="0" topLeftCell="A7">
      <selection activeCell="D13" sqref="D13"/>
    </sheetView>
  </sheetViews>
  <sheetFormatPr defaultColWidth="11.421875" defaultRowHeight="12.75"/>
  <cols>
    <col min="1" max="1" width="41.28125" style="11" customWidth="1"/>
    <col min="2" max="11" width="15.7109375" style="15" customWidth="1"/>
    <col min="12" max="16384" width="11.421875" style="15" customWidth="1"/>
  </cols>
  <sheetData>
    <row r="1" ht="11.25">
      <c r="A1" s="165" t="str">
        <f>'Front Cover'!A8:M8</f>
        <v>England Hockey</v>
      </c>
    </row>
    <row r="2" spans="1:5" ht="11.25">
      <c r="A2" s="6" t="str">
        <f>'Front Cover'!A10:M10</f>
        <v>Non-Asset Owning Club</v>
      </c>
      <c r="E2" s="10" t="s">
        <v>10</v>
      </c>
    </row>
    <row r="3" spans="1:6" ht="11.25">
      <c r="A3" s="165" t="s">
        <v>369</v>
      </c>
      <c r="B3" s="197"/>
      <c r="C3" s="197"/>
      <c r="D3" s="197"/>
      <c r="E3" s="197"/>
      <c r="F3" s="197"/>
    </row>
    <row r="4" spans="1:6" ht="11.25">
      <c r="A4" s="9" t="s">
        <v>10</v>
      </c>
      <c r="E4" s="10"/>
      <c r="F4" s="166" t="s">
        <v>10</v>
      </c>
    </row>
    <row r="5" spans="1:6" ht="11.25">
      <c r="A5" s="9"/>
      <c r="F5" s="166"/>
    </row>
    <row r="6" spans="1:6" ht="25.5" customHeight="1">
      <c r="A6" s="291" t="s">
        <v>10</v>
      </c>
      <c r="B6" s="290" t="s">
        <v>293</v>
      </c>
      <c r="C6" s="290" t="s">
        <v>294</v>
      </c>
      <c r="D6" s="290" t="s">
        <v>295</v>
      </c>
      <c r="E6" s="290" t="s">
        <v>296</v>
      </c>
      <c r="F6" s="290" t="s">
        <v>297</v>
      </c>
    </row>
    <row r="7" spans="1:6" ht="11.25">
      <c r="A7" s="19" t="s">
        <v>298</v>
      </c>
      <c r="B7" s="295">
        <v>95</v>
      </c>
      <c r="C7" s="295">
        <v>95</v>
      </c>
      <c r="D7" s="295">
        <v>45</v>
      </c>
      <c r="E7" s="295">
        <v>45</v>
      </c>
      <c r="F7" s="295">
        <v>5</v>
      </c>
    </row>
    <row r="8" spans="1:7" ht="11.25">
      <c r="A8" s="20" t="s">
        <v>299</v>
      </c>
      <c r="B8" s="296">
        <v>0.25</v>
      </c>
      <c r="C8" s="296">
        <v>0.25</v>
      </c>
      <c r="D8" s="296">
        <v>0.3</v>
      </c>
      <c r="E8" s="296">
        <v>0.2</v>
      </c>
      <c r="F8" s="296">
        <v>0</v>
      </c>
      <c r="G8" s="264">
        <f>SUM(B8:F8)</f>
        <v>1</v>
      </c>
    </row>
    <row r="9" spans="1:7" ht="11.25">
      <c r="A9" s="20"/>
      <c r="B9" s="21"/>
      <c r="C9" s="21"/>
      <c r="D9" s="21"/>
      <c r="E9" s="21"/>
      <c r="F9" s="21"/>
      <c r="G9" s="198"/>
    </row>
    <row r="10" spans="1:7" ht="11.25">
      <c r="A10" s="20" t="s">
        <v>301</v>
      </c>
      <c r="B10" s="284">
        <v>120</v>
      </c>
      <c r="C10" s="21"/>
      <c r="D10" s="21"/>
      <c r="E10" s="21"/>
      <c r="F10" s="21"/>
      <c r="G10" s="198"/>
    </row>
    <row r="11" spans="1:7" ht="11.25">
      <c r="A11" s="20" t="s">
        <v>300</v>
      </c>
      <c r="B11" s="128">
        <f>$B$10*B8</f>
        <v>30</v>
      </c>
      <c r="C11" s="128">
        <f>$B$10*C8</f>
        <v>30</v>
      </c>
      <c r="D11" s="128">
        <f>$B$10*D8</f>
        <v>36</v>
      </c>
      <c r="E11" s="128">
        <f>$B$10*E8</f>
        <v>24</v>
      </c>
      <c r="F11" s="128">
        <f>$B$10*F8</f>
        <v>0</v>
      </c>
      <c r="G11" s="297" t="s">
        <v>304</v>
      </c>
    </row>
    <row r="12" spans="1:7" ht="11.25">
      <c r="A12" s="20" t="s">
        <v>304</v>
      </c>
      <c r="B12" s="284">
        <v>2</v>
      </c>
      <c r="C12" s="284">
        <v>2</v>
      </c>
      <c r="D12" s="284">
        <v>1</v>
      </c>
      <c r="E12" s="284">
        <v>1</v>
      </c>
      <c r="F12" s="20"/>
      <c r="G12" s="298">
        <f>SUM(B12:F12)</f>
        <v>6</v>
      </c>
    </row>
    <row r="13" spans="1:7" ht="11.25">
      <c r="A13" s="20"/>
      <c r="B13" s="20"/>
      <c r="C13" s="20"/>
      <c r="D13" s="20"/>
      <c r="E13" s="20"/>
      <c r="F13" s="20"/>
      <c r="G13" s="24"/>
    </row>
    <row r="14" spans="1:7" ht="11.25">
      <c r="A14" s="20" t="s">
        <v>307</v>
      </c>
      <c r="B14" s="284">
        <v>15</v>
      </c>
      <c r="C14" s="284">
        <v>15</v>
      </c>
      <c r="D14" s="284">
        <v>10</v>
      </c>
      <c r="E14" s="284">
        <v>10</v>
      </c>
      <c r="F14" s="20"/>
      <c r="G14" s="24"/>
    </row>
    <row r="15" spans="1:7" ht="11.25">
      <c r="A15" s="20" t="s">
        <v>308</v>
      </c>
      <c r="B15" s="284">
        <v>16</v>
      </c>
      <c r="C15" s="284">
        <v>16</v>
      </c>
      <c r="D15" s="284">
        <v>11</v>
      </c>
      <c r="E15" s="284">
        <v>11</v>
      </c>
      <c r="F15" s="20"/>
      <c r="G15" s="24"/>
    </row>
    <row r="16" spans="1:7" ht="11.25">
      <c r="A16" s="20" t="s">
        <v>313</v>
      </c>
      <c r="B16" s="284">
        <v>4</v>
      </c>
      <c r="C16" s="284">
        <v>4</v>
      </c>
      <c r="D16" s="284">
        <v>4</v>
      </c>
      <c r="E16" s="284">
        <v>4</v>
      </c>
      <c r="F16" s="20"/>
      <c r="G16" s="24"/>
    </row>
    <row r="17" spans="1:7" ht="11.25">
      <c r="A17" s="20" t="s">
        <v>312</v>
      </c>
      <c r="B17" s="299">
        <v>8</v>
      </c>
      <c r="C17" s="299">
        <v>8</v>
      </c>
      <c r="D17" s="299">
        <v>4</v>
      </c>
      <c r="E17" s="299">
        <v>4</v>
      </c>
      <c r="F17" s="20"/>
      <c r="G17" s="24"/>
    </row>
    <row r="18" spans="1:7" ht="11.25">
      <c r="A18" s="20" t="s">
        <v>314</v>
      </c>
      <c r="B18" s="262">
        <f>(((B14*2)*B17)*B15)*B12</f>
        <v>7680</v>
      </c>
      <c r="C18" s="262">
        <f>(((C14*2)*C17)*C15)*C12</f>
        <v>7680</v>
      </c>
      <c r="D18" s="262">
        <f>(((D14*2)*D17)*D15)*D12</f>
        <v>880</v>
      </c>
      <c r="E18" s="262">
        <f>(((E14*2)*E17)*E15)*E12</f>
        <v>880</v>
      </c>
      <c r="F18" s="20"/>
      <c r="G18" s="263">
        <f>SUM(B18:F18)</f>
        <v>17120</v>
      </c>
    </row>
    <row r="19" spans="1:7" ht="11.25">
      <c r="A19" s="20" t="s">
        <v>309</v>
      </c>
      <c r="B19" s="262">
        <f>(B14*((B15+B16)*2))*B12</f>
        <v>1200</v>
      </c>
      <c r="C19" s="262">
        <f>(C14*((C15+C16)*2))*C12</f>
        <v>1200</v>
      </c>
      <c r="D19" s="262">
        <f>(D14*((D15+D16)*2))*D12</f>
        <v>300</v>
      </c>
      <c r="E19" s="262">
        <f>(E14*((E15+E16)*2))*E12</f>
        <v>300</v>
      </c>
      <c r="F19" s="262">
        <f>F11*30</f>
        <v>0</v>
      </c>
      <c r="G19" s="263">
        <f>SUM(B19:F19)</f>
        <v>3000</v>
      </c>
    </row>
    <row r="20" spans="1:7" ht="11.25">
      <c r="A20" s="20" t="s">
        <v>344</v>
      </c>
      <c r="B20" s="318">
        <v>2000</v>
      </c>
      <c r="C20" s="262"/>
      <c r="D20" s="262"/>
      <c r="E20" s="262"/>
      <c r="F20" s="262"/>
      <c r="G20" s="263"/>
    </row>
    <row r="21" spans="1:7" ht="11.25">
      <c r="A21" s="20" t="s">
        <v>345</v>
      </c>
      <c r="B21" s="318">
        <v>500</v>
      </c>
      <c r="C21" s="262"/>
      <c r="D21" s="262"/>
      <c r="E21" s="262"/>
      <c r="F21" s="262"/>
      <c r="G21" s="263"/>
    </row>
    <row r="22" spans="1:7" ht="11.25">
      <c r="A22" s="321" t="s">
        <v>375</v>
      </c>
      <c r="B22" s="262"/>
      <c r="C22" s="262"/>
      <c r="D22" s="262"/>
      <c r="E22" s="262"/>
      <c r="F22" s="262"/>
      <c r="G22" s="263"/>
    </row>
    <row r="23" spans="1:7" ht="11.25">
      <c r="A23" s="20" t="s">
        <v>376</v>
      </c>
      <c r="B23" s="318">
        <v>2000</v>
      </c>
      <c r="C23" s="262"/>
      <c r="D23" s="262"/>
      <c r="E23" s="262"/>
      <c r="F23" s="262"/>
      <c r="G23" s="263"/>
    </row>
    <row r="24" spans="1:7" ht="11.25">
      <c r="A24" s="20" t="s">
        <v>377</v>
      </c>
      <c r="B24" s="318">
        <v>1000</v>
      </c>
      <c r="C24" s="262"/>
      <c r="D24" s="262"/>
      <c r="E24" s="262"/>
      <c r="F24" s="262"/>
      <c r="G24" s="263"/>
    </row>
    <row r="25" spans="1:7" ht="11.25">
      <c r="A25" s="20"/>
      <c r="B25" s="262"/>
      <c r="C25" s="262"/>
      <c r="D25" s="262"/>
      <c r="E25" s="262"/>
      <c r="F25" s="262"/>
      <c r="G25" s="263"/>
    </row>
    <row r="26" spans="1:13" ht="33.75">
      <c r="A26" s="315" t="s">
        <v>317</v>
      </c>
      <c r="B26" s="315" t="s">
        <v>353</v>
      </c>
      <c r="C26" s="315" t="s">
        <v>352</v>
      </c>
      <c r="D26" s="315" t="s">
        <v>318</v>
      </c>
      <c r="E26" s="315" t="s">
        <v>320</v>
      </c>
      <c r="F26" s="315" t="s">
        <v>349</v>
      </c>
      <c r="G26" s="315" t="s">
        <v>258</v>
      </c>
      <c r="H26" s="166"/>
      <c r="I26" s="166"/>
      <c r="J26" s="166"/>
      <c r="K26" s="166"/>
      <c r="L26" s="166"/>
      <c r="M26" s="166"/>
    </row>
    <row r="27" spans="1:7" ht="11.25">
      <c r="A27" s="170" t="s">
        <v>316</v>
      </c>
      <c r="B27" s="171">
        <f>((B11+C11)*75%)</f>
        <v>45</v>
      </c>
      <c r="C27" s="171">
        <v>40</v>
      </c>
      <c r="D27" s="171">
        <f>B27*C27</f>
        <v>1800</v>
      </c>
      <c r="E27" s="301">
        <v>2</v>
      </c>
      <c r="F27" s="314">
        <v>1</v>
      </c>
      <c r="G27" s="171">
        <f>D27*E27*(1-F27)</f>
        <v>0</v>
      </c>
    </row>
    <row r="28" spans="1:7" ht="11.25">
      <c r="A28" s="170" t="s">
        <v>319</v>
      </c>
      <c r="B28" s="171">
        <f>(D11+E11)*75%</f>
        <v>45</v>
      </c>
      <c r="C28" s="171">
        <v>40</v>
      </c>
      <c r="D28" s="171">
        <f>B28*C28</f>
        <v>1800</v>
      </c>
      <c r="E28" s="301">
        <v>2</v>
      </c>
      <c r="F28" s="314">
        <v>0.25</v>
      </c>
      <c r="G28" s="171">
        <f>D28*E28*(1-F28)</f>
        <v>2700</v>
      </c>
    </row>
    <row r="29" spans="1:7" ht="11.25">
      <c r="A29" s="20"/>
      <c r="B29" s="20"/>
      <c r="C29" s="20"/>
      <c r="D29" s="20"/>
      <c r="E29" s="20"/>
      <c r="F29" s="20"/>
      <c r="G29" s="24"/>
    </row>
    <row r="30" spans="1:6" ht="11.25">
      <c r="A30" s="165"/>
      <c r="F30" s="166"/>
    </row>
    <row r="31" spans="1:11" ht="24" customHeight="1">
      <c r="A31" s="293" t="str">
        <f>B6</f>
        <v>Adult Male</v>
      </c>
      <c r="B31" s="290" t="s">
        <v>13</v>
      </c>
      <c r="C31" s="292" t="s">
        <v>19</v>
      </c>
      <c r="D31" s="290" t="s">
        <v>20</v>
      </c>
      <c r="E31" s="290" t="s">
        <v>21</v>
      </c>
      <c r="F31" s="292" t="s">
        <v>14</v>
      </c>
      <c r="G31" s="292" t="s">
        <v>259</v>
      </c>
      <c r="H31" s="292" t="s">
        <v>260</v>
      </c>
      <c r="I31" s="292" t="s">
        <v>261</v>
      </c>
      <c r="J31" s="292" t="s">
        <v>262</v>
      </c>
      <c r="K31" s="292" t="s">
        <v>263</v>
      </c>
    </row>
    <row r="33" spans="1:11" ht="11.25">
      <c r="A33" s="11" t="s">
        <v>88</v>
      </c>
      <c r="B33" s="11"/>
      <c r="C33" s="294">
        <v>0.01</v>
      </c>
      <c r="D33" s="294">
        <v>0.01</v>
      </c>
      <c r="E33" s="294">
        <v>0.01</v>
      </c>
      <c r="F33" s="294">
        <v>0.01</v>
      </c>
      <c r="G33" s="294">
        <v>0.01</v>
      </c>
      <c r="H33" s="294">
        <v>0.01</v>
      </c>
      <c r="I33" s="294">
        <v>0.01</v>
      </c>
      <c r="J33" s="294">
        <v>0.01</v>
      </c>
      <c r="K33" s="294">
        <v>0.01</v>
      </c>
    </row>
    <row r="35" spans="1:11" ht="11.25">
      <c r="A35" s="11" t="s">
        <v>302</v>
      </c>
      <c r="B35" s="22">
        <f>B11</f>
        <v>30</v>
      </c>
      <c r="C35" s="22">
        <f>B35*(1+C33)</f>
        <v>30.3</v>
      </c>
      <c r="D35" s="22">
        <f aca="true" t="shared" si="0" ref="D35:K35">C35*(1+D33)</f>
        <v>30.603</v>
      </c>
      <c r="E35" s="22">
        <f t="shared" si="0"/>
        <v>30.90903</v>
      </c>
      <c r="F35" s="22">
        <f t="shared" si="0"/>
        <v>31.218120300000002</v>
      </c>
      <c r="G35" s="22">
        <f t="shared" si="0"/>
        <v>31.530301503000004</v>
      </c>
      <c r="H35" s="22">
        <f t="shared" si="0"/>
        <v>31.845604518030004</v>
      </c>
      <c r="I35" s="22">
        <f t="shared" si="0"/>
        <v>32.164060563210306</v>
      </c>
      <c r="J35" s="22">
        <f t="shared" si="0"/>
        <v>32.48570116884241</v>
      </c>
      <c r="K35" s="22">
        <f t="shared" si="0"/>
        <v>32.81055818053083</v>
      </c>
    </row>
    <row r="37" spans="2:11" ht="11.25">
      <c r="B37" s="2" t="s">
        <v>0</v>
      </c>
      <c r="C37" s="2" t="s">
        <v>0</v>
      </c>
      <c r="D37" s="2" t="s">
        <v>0</v>
      </c>
      <c r="E37" s="2" t="s">
        <v>0</v>
      </c>
      <c r="F37" s="2" t="s">
        <v>0</v>
      </c>
      <c r="G37" s="2" t="s">
        <v>0</v>
      </c>
      <c r="H37" s="2" t="s">
        <v>0</v>
      </c>
      <c r="I37" s="2" t="s">
        <v>0</v>
      </c>
      <c r="J37" s="2" t="s">
        <v>0</v>
      </c>
      <c r="K37" s="2" t="s">
        <v>0</v>
      </c>
    </row>
    <row r="38" spans="1:11" ht="11.25">
      <c r="A38" s="11" t="s">
        <v>303</v>
      </c>
      <c r="B38" s="23">
        <f>B35*$B$7</f>
        <v>2850</v>
      </c>
      <c r="C38" s="23">
        <f aca="true" t="shared" si="1" ref="C38:K38">C35*$B$7</f>
        <v>2878.5</v>
      </c>
      <c r="D38" s="23">
        <f t="shared" si="1"/>
        <v>2907.2850000000003</v>
      </c>
      <c r="E38" s="23">
        <f t="shared" si="1"/>
        <v>2936.3578500000003</v>
      </c>
      <c r="F38" s="23">
        <f t="shared" si="1"/>
        <v>2965.7214285000005</v>
      </c>
      <c r="G38" s="23">
        <f t="shared" si="1"/>
        <v>2995.3786427850005</v>
      </c>
      <c r="H38" s="23">
        <f t="shared" si="1"/>
        <v>3025.3324292128505</v>
      </c>
      <c r="I38" s="23">
        <f t="shared" si="1"/>
        <v>3055.585753504979</v>
      </c>
      <c r="J38" s="23">
        <f t="shared" si="1"/>
        <v>3086.141611040029</v>
      </c>
      <c r="K38" s="23">
        <f t="shared" si="1"/>
        <v>3117.0030271504293</v>
      </c>
    </row>
    <row r="39" spans="1:11" ht="11.25">
      <c r="A39" s="11" t="s">
        <v>30</v>
      </c>
      <c r="B39" s="199">
        <f aca="true" t="shared" si="2" ref="B39:K39">SUM(B38:B38)</f>
        <v>2850</v>
      </c>
      <c r="C39" s="199">
        <f t="shared" si="2"/>
        <v>2878.5</v>
      </c>
      <c r="D39" s="199">
        <f t="shared" si="2"/>
        <v>2907.2850000000003</v>
      </c>
      <c r="E39" s="199">
        <f t="shared" si="2"/>
        <v>2936.3578500000003</v>
      </c>
      <c r="F39" s="199">
        <f t="shared" si="2"/>
        <v>2965.7214285000005</v>
      </c>
      <c r="G39" s="199">
        <f t="shared" si="2"/>
        <v>2995.3786427850005</v>
      </c>
      <c r="H39" s="199">
        <f t="shared" si="2"/>
        <v>3025.3324292128505</v>
      </c>
      <c r="I39" s="199">
        <f t="shared" si="2"/>
        <v>3055.585753504979</v>
      </c>
      <c r="J39" s="199">
        <f t="shared" si="2"/>
        <v>3086.141611040029</v>
      </c>
      <c r="K39" s="199">
        <f t="shared" si="2"/>
        <v>3117.0030271504293</v>
      </c>
    </row>
    <row r="40" spans="1:6" ht="11.25">
      <c r="A40" s="165"/>
      <c r="F40" s="166"/>
    </row>
    <row r="41" spans="1:6" ht="11.25">
      <c r="A41" s="165" t="s">
        <v>310</v>
      </c>
      <c r="F41" s="166"/>
    </row>
    <row r="42" spans="1:6" ht="11.25">
      <c r="A42" s="165"/>
      <c r="F42" s="166"/>
    </row>
    <row r="43" spans="1:11" ht="22.5" customHeight="1">
      <c r="A43" s="293" t="str">
        <f>C6</f>
        <v>Adult Female</v>
      </c>
      <c r="B43" s="290" t="s">
        <v>13</v>
      </c>
      <c r="C43" s="292" t="s">
        <v>19</v>
      </c>
      <c r="D43" s="290" t="s">
        <v>20</v>
      </c>
      <c r="E43" s="290" t="s">
        <v>21</v>
      </c>
      <c r="F43" s="292" t="s">
        <v>14</v>
      </c>
      <c r="G43" s="292" t="s">
        <v>259</v>
      </c>
      <c r="H43" s="292" t="s">
        <v>260</v>
      </c>
      <c r="I43" s="292" t="s">
        <v>261</v>
      </c>
      <c r="J43" s="292" t="s">
        <v>262</v>
      </c>
      <c r="K43" s="292" t="s">
        <v>263</v>
      </c>
    </row>
    <row r="45" spans="1:11" ht="11.25">
      <c r="A45" s="11" t="s">
        <v>88</v>
      </c>
      <c r="B45" s="11"/>
      <c r="C45" s="294">
        <v>0.01</v>
      </c>
      <c r="D45" s="294">
        <v>0.01</v>
      </c>
      <c r="E45" s="294">
        <v>0.01</v>
      </c>
      <c r="F45" s="294">
        <v>0.01</v>
      </c>
      <c r="G45" s="294">
        <v>0.01</v>
      </c>
      <c r="H45" s="294">
        <v>0.01</v>
      </c>
      <c r="I45" s="294">
        <v>0.01</v>
      </c>
      <c r="J45" s="294">
        <v>0.01</v>
      </c>
      <c r="K45" s="294">
        <v>0.01</v>
      </c>
    </row>
    <row r="47" spans="1:11" ht="11.25">
      <c r="A47" s="11" t="s">
        <v>302</v>
      </c>
      <c r="B47" s="22">
        <f>C11</f>
        <v>30</v>
      </c>
      <c r="C47" s="22">
        <f>B47*(1+C45)</f>
        <v>30.3</v>
      </c>
      <c r="D47" s="22">
        <f aca="true" t="shared" si="3" ref="D47:K47">C47*(1+D45)</f>
        <v>30.603</v>
      </c>
      <c r="E47" s="22">
        <f t="shared" si="3"/>
        <v>30.90903</v>
      </c>
      <c r="F47" s="22">
        <f t="shared" si="3"/>
        <v>31.218120300000002</v>
      </c>
      <c r="G47" s="22">
        <f t="shared" si="3"/>
        <v>31.530301503000004</v>
      </c>
      <c r="H47" s="22">
        <f t="shared" si="3"/>
        <v>31.845604518030004</v>
      </c>
      <c r="I47" s="22">
        <f t="shared" si="3"/>
        <v>32.164060563210306</v>
      </c>
      <c r="J47" s="22">
        <f t="shared" si="3"/>
        <v>32.48570116884241</v>
      </c>
      <c r="K47" s="22">
        <f t="shared" si="3"/>
        <v>32.81055818053083</v>
      </c>
    </row>
    <row r="48" spans="4:11" ht="11.25">
      <c r="D48" s="24"/>
      <c r="E48" s="24"/>
      <c r="F48" s="24"/>
      <c r="G48" s="24"/>
      <c r="H48" s="24"/>
      <c r="I48" s="24"/>
      <c r="J48" s="24"/>
      <c r="K48" s="24"/>
    </row>
    <row r="49" spans="2:11" ht="11.25">
      <c r="B49" s="2" t="s">
        <v>0</v>
      </c>
      <c r="C49" s="2" t="s">
        <v>0</v>
      </c>
      <c r="D49" s="2" t="s">
        <v>0</v>
      </c>
      <c r="E49" s="2" t="s">
        <v>0</v>
      </c>
      <c r="F49" s="2" t="s">
        <v>0</v>
      </c>
      <c r="G49" s="2" t="s">
        <v>0</v>
      </c>
      <c r="H49" s="2" t="s">
        <v>0</v>
      </c>
      <c r="I49" s="2" t="s">
        <v>0</v>
      </c>
      <c r="J49" s="2" t="s">
        <v>0</v>
      </c>
      <c r="K49" s="2" t="s">
        <v>0</v>
      </c>
    </row>
    <row r="50" spans="1:11" ht="11.25">
      <c r="A50" s="11" t="s">
        <v>303</v>
      </c>
      <c r="B50" s="23">
        <f>B47*$C$7</f>
        <v>2850</v>
      </c>
      <c r="C50" s="23">
        <f aca="true" t="shared" si="4" ref="C50:K50">C47*$C$7</f>
        <v>2878.5</v>
      </c>
      <c r="D50" s="23">
        <f t="shared" si="4"/>
        <v>2907.2850000000003</v>
      </c>
      <c r="E50" s="23">
        <f t="shared" si="4"/>
        <v>2936.3578500000003</v>
      </c>
      <c r="F50" s="23">
        <f t="shared" si="4"/>
        <v>2965.7214285000005</v>
      </c>
      <c r="G50" s="23">
        <f t="shared" si="4"/>
        <v>2995.3786427850005</v>
      </c>
      <c r="H50" s="23">
        <f t="shared" si="4"/>
        <v>3025.3324292128505</v>
      </c>
      <c r="I50" s="23">
        <f t="shared" si="4"/>
        <v>3055.585753504979</v>
      </c>
      <c r="J50" s="23">
        <f t="shared" si="4"/>
        <v>3086.141611040029</v>
      </c>
      <c r="K50" s="23">
        <f t="shared" si="4"/>
        <v>3117.0030271504293</v>
      </c>
    </row>
    <row r="51" spans="1:11" ht="11.25">
      <c r="A51" s="11" t="s">
        <v>30</v>
      </c>
      <c r="B51" s="199">
        <f aca="true" t="shared" si="5" ref="B51:K51">SUM(B50:B50)</f>
        <v>2850</v>
      </c>
      <c r="C51" s="199">
        <f t="shared" si="5"/>
        <v>2878.5</v>
      </c>
      <c r="D51" s="199">
        <f t="shared" si="5"/>
        <v>2907.2850000000003</v>
      </c>
      <c r="E51" s="199">
        <f t="shared" si="5"/>
        <v>2936.3578500000003</v>
      </c>
      <c r="F51" s="199">
        <f t="shared" si="5"/>
        <v>2965.7214285000005</v>
      </c>
      <c r="G51" s="199">
        <f t="shared" si="5"/>
        <v>2995.3786427850005</v>
      </c>
      <c r="H51" s="199">
        <f t="shared" si="5"/>
        <v>3025.3324292128505</v>
      </c>
      <c r="I51" s="199">
        <f t="shared" si="5"/>
        <v>3055.585753504979</v>
      </c>
      <c r="J51" s="199">
        <f t="shared" si="5"/>
        <v>3086.141611040029</v>
      </c>
      <c r="K51" s="199">
        <f t="shared" si="5"/>
        <v>3117.0030271504293</v>
      </c>
    </row>
    <row r="52" spans="1:6" ht="11.25">
      <c r="A52" s="165"/>
      <c r="F52" s="166"/>
    </row>
    <row r="53" spans="1:6" ht="11.25">
      <c r="A53" s="165"/>
      <c r="F53" s="166"/>
    </row>
    <row r="54" spans="1:6" ht="11.25">
      <c r="A54" s="165"/>
      <c r="F54" s="166"/>
    </row>
    <row r="55" spans="1:11" ht="24.75" customHeight="1">
      <c r="A55" s="293" t="str">
        <f>D6</f>
        <v>Junior Male</v>
      </c>
      <c r="B55" s="290" t="s">
        <v>13</v>
      </c>
      <c r="C55" s="292" t="s">
        <v>19</v>
      </c>
      <c r="D55" s="290" t="s">
        <v>20</v>
      </c>
      <c r="E55" s="290" t="s">
        <v>21</v>
      </c>
      <c r="F55" s="292" t="s">
        <v>14</v>
      </c>
      <c r="G55" s="292" t="s">
        <v>259</v>
      </c>
      <c r="H55" s="292" t="s">
        <v>260</v>
      </c>
      <c r="I55" s="292" t="s">
        <v>261</v>
      </c>
      <c r="J55" s="292" t="s">
        <v>262</v>
      </c>
      <c r="K55" s="292" t="s">
        <v>263</v>
      </c>
    </row>
    <row r="57" spans="1:11" ht="11.25">
      <c r="A57" s="11" t="s">
        <v>88</v>
      </c>
      <c r="B57" s="11"/>
      <c r="C57" s="294">
        <v>0.01</v>
      </c>
      <c r="D57" s="294">
        <v>0.01</v>
      </c>
      <c r="E57" s="294">
        <v>0.01</v>
      </c>
      <c r="F57" s="294">
        <v>0.01</v>
      </c>
      <c r="G57" s="294">
        <v>0.01</v>
      </c>
      <c r="H57" s="294">
        <v>0.01</v>
      </c>
      <c r="I57" s="294">
        <v>0.01</v>
      </c>
      <c r="J57" s="294">
        <v>0.01</v>
      </c>
      <c r="K57" s="294">
        <v>0.01</v>
      </c>
    </row>
    <row r="59" spans="1:11" ht="11.25">
      <c r="A59" s="11" t="s">
        <v>302</v>
      </c>
      <c r="B59" s="22">
        <f>D11</f>
        <v>36</v>
      </c>
      <c r="C59" s="22">
        <f>B59*(1+C57)</f>
        <v>36.36</v>
      </c>
      <c r="D59" s="22">
        <f aca="true" t="shared" si="6" ref="D59:K59">C59*(1+D57)</f>
        <v>36.7236</v>
      </c>
      <c r="E59" s="22">
        <f t="shared" si="6"/>
        <v>37.090835999999996</v>
      </c>
      <c r="F59" s="22">
        <f t="shared" si="6"/>
        <v>37.46174436</v>
      </c>
      <c r="G59" s="22">
        <f>F59*(1+G57)</f>
        <v>37.8363618036</v>
      </c>
      <c r="H59" s="22">
        <f t="shared" si="6"/>
        <v>38.214725421636</v>
      </c>
      <c r="I59" s="22">
        <f t="shared" si="6"/>
        <v>38.59687267585236</v>
      </c>
      <c r="J59" s="22">
        <f t="shared" si="6"/>
        <v>38.98284140261089</v>
      </c>
      <c r="K59" s="22">
        <f t="shared" si="6"/>
        <v>39.372669816637</v>
      </c>
    </row>
    <row r="61" spans="2:11" ht="11.25">
      <c r="B61" s="2" t="s">
        <v>0</v>
      </c>
      <c r="C61" s="2" t="s">
        <v>0</v>
      </c>
      <c r="D61" s="2" t="s">
        <v>0</v>
      </c>
      <c r="E61" s="2" t="s">
        <v>0</v>
      </c>
      <c r="F61" s="2" t="s">
        <v>0</v>
      </c>
      <c r="G61" s="2" t="s">
        <v>0</v>
      </c>
      <c r="H61" s="2" t="s">
        <v>0</v>
      </c>
      <c r="I61" s="2" t="s">
        <v>0</v>
      </c>
      <c r="J61" s="2" t="s">
        <v>0</v>
      </c>
      <c r="K61" s="2" t="s">
        <v>0</v>
      </c>
    </row>
    <row r="62" spans="1:11" ht="11.25">
      <c r="A62" s="11" t="s">
        <v>303</v>
      </c>
      <c r="B62" s="23">
        <f>B59*$D$7</f>
        <v>1620</v>
      </c>
      <c r="C62" s="23">
        <f>C59*$D$7</f>
        <v>1636.2</v>
      </c>
      <c r="D62" s="23">
        <f aca="true" t="shared" si="7" ref="D62:K62">D59*$D$7</f>
        <v>1652.562</v>
      </c>
      <c r="E62" s="23">
        <f t="shared" si="7"/>
        <v>1669.0876199999998</v>
      </c>
      <c r="F62" s="23">
        <f t="shared" si="7"/>
        <v>1685.7784961999998</v>
      </c>
      <c r="G62" s="23">
        <f t="shared" si="7"/>
        <v>1702.636281162</v>
      </c>
      <c r="H62" s="23">
        <f t="shared" si="7"/>
        <v>1719.6626439736199</v>
      </c>
      <c r="I62" s="23">
        <f t="shared" si="7"/>
        <v>1736.8592704133562</v>
      </c>
      <c r="J62" s="23">
        <f t="shared" si="7"/>
        <v>1754.22786311749</v>
      </c>
      <c r="K62" s="23">
        <f t="shared" si="7"/>
        <v>1771.770141748665</v>
      </c>
    </row>
    <row r="63" spans="1:11" ht="11.25">
      <c r="A63" s="11" t="s">
        <v>30</v>
      </c>
      <c r="B63" s="199">
        <f aca="true" t="shared" si="8" ref="B63:K63">SUM(B62:B62)</f>
        <v>1620</v>
      </c>
      <c r="C63" s="199">
        <f t="shared" si="8"/>
        <v>1636.2</v>
      </c>
      <c r="D63" s="199">
        <f t="shared" si="8"/>
        <v>1652.562</v>
      </c>
      <c r="E63" s="199">
        <f t="shared" si="8"/>
        <v>1669.0876199999998</v>
      </c>
      <c r="F63" s="199">
        <f t="shared" si="8"/>
        <v>1685.7784961999998</v>
      </c>
      <c r="G63" s="199">
        <f t="shared" si="8"/>
        <v>1702.636281162</v>
      </c>
      <c r="H63" s="199">
        <f t="shared" si="8"/>
        <v>1719.6626439736199</v>
      </c>
      <c r="I63" s="199">
        <f t="shared" si="8"/>
        <v>1736.8592704133562</v>
      </c>
      <c r="J63" s="199">
        <f t="shared" si="8"/>
        <v>1754.22786311749</v>
      </c>
      <c r="K63" s="199">
        <f t="shared" si="8"/>
        <v>1771.770141748665</v>
      </c>
    </row>
    <row r="64" spans="1:6" ht="11.25">
      <c r="A64" s="165"/>
      <c r="F64" s="166"/>
    </row>
    <row r="65" spans="1:6" ht="11.25">
      <c r="A65" s="165"/>
      <c r="F65" s="166"/>
    </row>
    <row r="66" spans="1:6" ht="11.25">
      <c r="A66" s="165"/>
      <c r="F66" s="166"/>
    </row>
    <row r="67" spans="1:11" ht="22.5" customHeight="1">
      <c r="A67" s="293" t="str">
        <f>E6</f>
        <v>Junior Female</v>
      </c>
      <c r="B67" s="290" t="s">
        <v>13</v>
      </c>
      <c r="C67" s="292" t="s">
        <v>19</v>
      </c>
      <c r="D67" s="290" t="s">
        <v>20</v>
      </c>
      <c r="E67" s="290" t="s">
        <v>21</v>
      </c>
      <c r="F67" s="292" t="s">
        <v>14</v>
      </c>
      <c r="G67" s="292" t="s">
        <v>259</v>
      </c>
      <c r="H67" s="292" t="s">
        <v>260</v>
      </c>
      <c r="I67" s="292" t="s">
        <v>261</v>
      </c>
      <c r="J67" s="292" t="s">
        <v>262</v>
      </c>
      <c r="K67" s="292" t="s">
        <v>263</v>
      </c>
    </row>
    <row r="68" spans="1:6" ht="11.25">
      <c r="A68" s="185"/>
      <c r="B68" s="164"/>
      <c r="C68" s="164"/>
      <c r="D68" s="164"/>
      <c r="E68" s="164"/>
      <c r="F68" s="164"/>
    </row>
    <row r="69" spans="1:11" ht="11.25">
      <c r="A69" s="11" t="s">
        <v>88</v>
      </c>
      <c r="B69" s="11"/>
      <c r="C69" s="294">
        <v>0.01</v>
      </c>
      <c r="D69" s="294">
        <v>0.01</v>
      </c>
      <c r="E69" s="294">
        <v>0.01</v>
      </c>
      <c r="F69" s="294">
        <v>0.01</v>
      </c>
      <c r="G69" s="294">
        <v>0.01</v>
      </c>
      <c r="H69" s="294">
        <v>0.01</v>
      </c>
      <c r="I69" s="294">
        <v>0.01</v>
      </c>
      <c r="J69" s="294">
        <v>0.01</v>
      </c>
      <c r="K69" s="294">
        <v>0.01</v>
      </c>
    </row>
    <row r="71" spans="1:11" ht="11.25">
      <c r="A71" s="11" t="s">
        <v>302</v>
      </c>
      <c r="B71" s="22">
        <f>E11</f>
        <v>24</v>
      </c>
      <c r="C71" s="22">
        <f aca="true" t="shared" si="9" ref="C71:K71">B71*(1+C69)</f>
        <v>24.240000000000002</v>
      </c>
      <c r="D71" s="22">
        <f t="shared" si="9"/>
        <v>24.482400000000002</v>
      </c>
      <c r="E71" s="22">
        <f t="shared" si="9"/>
        <v>24.727224000000003</v>
      </c>
      <c r="F71" s="22">
        <f t="shared" si="9"/>
        <v>24.974496240000004</v>
      </c>
      <c r="G71" s="22">
        <f t="shared" si="9"/>
        <v>25.224241202400005</v>
      </c>
      <c r="H71" s="22">
        <f t="shared" si="9"/>
        <v>25.476483614424005</v>
      </c>
      <c r="I71" s="22">
        <f t="shared" si="9"/>
        <v>25.731248450568245</v>
      </c>
      <c r="J71" s="22">
        <f t="shared" si="9"/>
        <v>25.988560935073927</v>
      </c>
      <c r="K71" s="22">
        <f t="shared" si="9"/>
        <v>26.248446544424667</v>
      </c>
    </row>
    <row r="73" spans="2:11" ht="11.25">
      <c r="B73" s="2" t="s">
        <v>0</v>
      </c>
      <c r="C73" s="2" t="s">
        <v>0</v>
      </c>
      <c r="D73" s="2" t="s">
        <v>0</v>
      </c>
      <c r="E73" s="2" t="s">
        <v>0</v>
      </c>
      <c r="F73" s="2" t="s">
        <v>0</v>
      </c>
      <c r="G73" s="2" t="s">
        <v>0</v>
      </c>
      <c r="H73" s="2" t="s">
        <v>0</v>
      </c>
      <c r="I73" s="2" t="s">
        <v>0</v>
      </c>
      <c r="J73" s="2" t="s">
        <v>0</v>
      </c>
      <c r="K73" s="2" t="s">
        <v>0</v>
      </c>
    </row>
    <row r="74" spans="1:11" ht="11.25">
      <c r="A74" s="11" t="s">
        <v>303</v>
      </c>
      <c r="B74" s="23">
        <f>B71*$E$7</f>
        <v>1080</v>
      </c>
      <c r="C74" s="23">
        <f aca="true" t="shared" si="10" ref="C74:K74">C71*$E$7</f>
        <v>1090.8000000000002</v>
      </c>
      <c r="D74" s="23">
        <f t="shared" si="10"/>
        <v>1101.708</v>
      </c>
      <c r="E74" s="23">
        <f t="shared" si="10"/>
        <v>1112.7250800000002</v>
      </c>
      <c r="F74" s="23">
        <f t="shared" si="10"/>
        <v>1123.8523308000001</v>
      </c>
      <c r="G74" s="23">
        <f t="shared" si="10"/>
        <v>1135.0908541080003</v>
      </c>
      <c r="H74" s="23">
        <f t="shared" si="10"/>
        <v>1146.4417626490801</v>
      </c>
      <c r="I74" s="23">
        <f t="shared" si="10"/>
        <v>1157.906180275571</v>
      </c>
      <c r="J74" s="23">
        <f t="shared" si="10"/>
        <v>1169.4852420783268</v>
      </c>
      <c r="K74" s="23">
        <f t="shared" si="10"/>
        <v>1181.18009449911</v>
      </c>
    </row>
    <row r="75" spans="1:11" ht="11.25">
      <c r="A75" s="11" t="s">
        <v>30</v>
      </c>
      <c r="B75" s="199">
        <f aca="true" t="shared" si="11" ref="B75:K75">SUM(B74:B74)</f>
        <v>1080</v>
      </c>
      <c r="C75" s="199">
        <f t="shared" si="11"/>
        <v>1090.8000000000002</v>
      </c>
      <c r="D75" s="199">
        <f t="shared" si="11"/>
        <v>1101.708</v>
      </c>
      <c r="E75" s="199">
        <f t="shared" si="11"/>
        <v>1112.7250800000002</v>
      </c>
      <c r="F75" s="199">
        <f t="shared" si="11"/>
        <v>1123.8523308000001</v>
      </c>
      <c r="G75" s="199">
        <f t="shared" si="11"/>
        <v>1135.0908541080003</v>
      </c>
      <c r="H75" s="199">
        <f t="shared" si="11"/>
        <v>1146.4417626490801</v>
      </c>
      <c r="I75" s="199">
        <f t="shared" si="11"/>
        <v>1157.906180275571</v>
      </c>
      <c r="J75" s="199">
        <f t="shared" si="11"/>
        <v>1169.4852420783268</v>
      </c>
      <c r="K75" s="199">
        <f t="shared" si="11"/>
        <v>1181.18009449911</v>
      </c>
    </row>
    <row r="76" spans="1:6" ht="11.25">
      <c r="A76" s="165"/>
      <c r="F76" s="166"/>
    </row>
    <row r="77" spans="1:11" ht="23.25" customHeight="1">
      <c r="A77" s="293" t="str">
        <f>F6</f>
        <v>Social</v>
      </c>
      <c r="B77" s="290" t="s">
        <v>13</v>
      </c>
      <c r="C77" s="292" t="s">
        <v>19</v>
      </c>
      <c r="D77" s="290" t="s">
        <v>20</v>
      </c>
      <c r="E77" s="290" t="s">
        <v>21</v>
      </c>
      <c r="F77" s="292" t="s">
        <v>14</v>
      </c>
      <c r="G77" s="292" t="s">
        <v>259</v>
      </c>
      <c r="H77" s="292" t="s">
        <v>260</v>
      </c>
      <c r="I77" s="292" t="s">
        <v>261</v>
      </c>
      <c r="J77" s="292" t="s">
        <v>262</v>
      </c>
      <c r="K77" s="292" t="s">
        <v>263</v>
      </c>
    </row>
    <row r="79" spans="1:11" ht="11.25">
      <c r="A79" s="11" t="s">
        <v>88</v>
      </c>
      <c r="B79" s="11"/>
      <c r="C79" s="294">
        <v>0.01</v>
      </c>
      <c r="D79" s="294">
        <v>0.01</v>
      </c>
      <c r="E79" s="294">
        <v>0.01</v>
      </c>
      <c r="F79" s="294">
        <v>0.01</v>
      </c>
      <c r="G79" s="294">
        <v>0.01</v>
      </c>
      <c r="H79" s="294">
        <v>0.01</v>
      </c>
      <c r="I79" s="294">
        <v>0.01</v>
      </c>
      <c r="J79" s="294">
        <v>0.01</v>
      </c>
      <c r="K79" s="294">
        <v>0.01</v>
      </c>
    </row>
    <row r="81" spans="1:11" ht="11.25">
      <c r="A81" s="11" t="s">
        <v>302</v>
      </c>
      <c r="B81" s="22">
        <f>F11</f>
        <v>0</v>
      </c>
      <c r="C81" s="22">
        <f>B81*(1+C79)</f>
        <v>0</v>
      </c>
      <c r="D81" s="22">
        <f aca="true" t="shared" si="12" ref="D81:K81">C81*(1+D79)</f>
        <v>0</v>
      </c>
      <c r="E81" s="22">
        <f t="shared" si="12"/>
        <v>0</v>
      </c>
      <c r="F81" s="22">
        <f t="shared" si="12"/>
        <v>0</v>
      </c>
      <c r="G81" s="22">
        <f t="shared" si="12"/>
        <v>0</v>
      </c>
      <c r="H81" s="22">
        <f t="shared" si="12"/>
        <v>0</v>
      </c>
      <c r="I81" s="22">
        <f t="shared" si="12"/>
        <v>0</v>
      </c>
      <c r="J81" s="22">
        <f t="shared" si="12"/>
        <v>0</v>
      </c>
      <c r="K81" s="22">
        <f t="shared" si="12"/>
        <v>0</v>
      </c>
    </row>
    <row r="83" spans="2:11" ht="11.25">
      <c r="B83" s="2" t="s">
        <v>0</v>
      </c>
      <c r="C83" s="2" t="s">
        <v>0</v>
      </c>
      <c r="D83" s="2" t="s">
        <v>0</v>
      </c>
      <c r="E83" s="2" t="s">
        <v>0</v>
      </c>
      <c r="F83" s="2" t="s">
        <v>0</v>
      </c>
      <c r="G83" s="2" t="s">
        <v>0</v>
      </c>
      <c r="H83" s="2" t="s">
        <v>0</v>
      </c>
      <c r="I83" s="2" t="s">
        <v>0</v>
      </c>
      <c r="J83" s="2" t="s">
        <v>0</v>
      </c>
      <c r="K83" s="2" t="s">
        <v>0</v>
      </c>
    </row>
    <row r="84" spans="1:11" ht="11.25">
      <c r="A84" s="11" t="s">
        <v>29</v>
      </c>
      <c r="B84" s="23">
        <f>B81*$F$7</f>
        <v>0</v>
      </c>
      <c r="C84" s="23">
        <f aca="true" t="shared" si="13" ref="C84:K84">C81*$F$7</f>
        <v>0</v>
      </c>
      <c r="D84" s="23">
        <f t="shared" si="13"/>
        <v>0</v>
      </c>
      <c r="E84" s="23">
        <f t="shared" si="13"/>
        <v>0</v>
      </c>
      <c r="F84" s="23">
        <f t="shared" si="13"/>
        <v>0</v>
      </c>
      <c r="G84" s="23">
        <f t="shared" si="13"/>
        <v>0</v>
      </c>
      <c r="H84" s="23">
        <f t="shared" si="13"/>
        <v>0</v>
      </c>
      <c r="I84" s="23">
        <f t="shared" si="13"/>
        <v>0</v>
      </c>
      <c r="J84" s="23">
        <f t="shared" si="13"/>
        <v>0</v>
      </c>
      <c r="K84" s="23">
        <f t="shared" si="13"/>
        <v>0</v>
      </c>
    </row>
    <row r="85" spans="1:11" ht="11.25">
      <c r="A85" s="11" t="s">
        <v>30</v>
      </c>
      <c r="B85" s="199">
        <f aca="true" t="shared" si="14" ref="B85:K85">SUM(B84:B84)</f>
        <v>0</v>
      </c>
      <c r="C85" s="199">
        <f t="shared" si="14"/>
        <v>0</v>
      </c>
      <c r="D85" s="199">
        <f t="shared" si="14"/>
        <v>0</v>
      </c>
      <c r="E85" s="199">
        <f t="shared" si="14"/>
        <v>0</v>
      </c>
      <c r="F85" s="199">
        <f t="shared" si="14"/>
        <v>0</v>
      </c>
      <c r="G85" s="199">
        <f t="shared" si="14"/>
        <v>0</v>
      </c>
      <c r="H85" s="199">
        <f t="shared" si="14"/>
        <v>0</v>
      </c>
      <c r="I85" s="199">
        <f t="shared" si="14"/>
        <v>0</v>
      </c>
      <c r="J85" s="199">
        <f t="shared" si="14"/>
        <v>0</v>
      </c>
      <c r="K85" s="199">
        <f t="shared" si="14"/>
        <v>0</v>
      </c>
    </row>
    <row r="86" spans="1:6" ht="11.25">
      <c r="A86" s="165"/>
      <c r="F86" s="166"/>
    </row>
    <row r="87" spans="1:11" ht="23.25" customHeight="1">
      <c r="A87" s="293" t="s">
        <v>311</v>
      </c>
      <c r="B87" s="290" t="s">
        <v>13</v>
      </c>
      <c r="C87" s="292" t="s">
        <v>19</v>
      </c>
      <c r="D87" s="290" t="s">
        <v>20</v>
      </c>
      <c r="E87" s="290" t="s">
        <v>21</v>
      </c>
      <c r="F87" s="292" t="s">
        <v>14</v>
      </c>
      <c r="G87" s="292" t="s">
        <v>259</v>
      </c>
      <c r="H87" s="292" t="s">
        <v>260</v>
      </c>
      <c r="I87" s="292" t="s">
        <v>261</v>
      </c>
      <c r="J87" s="292" t="s">
        <v>262</v>
      </c>
      <c r="K87" s="292" t="s">
        <v>263</v>
      </c>
    </row>
    <row r="89" spans="1:11" ht="11.25">
      <c r="A89" s="11" t="s">
        <v>88</v>
      </c>
      <c r="B89" s="11"/>
      <c r="C89" s="294">
        <v>0.01</v>
      </c>
      <c r="D89" s="294">
        <v>0.01</v>
      </c>
      <c r="E89" s="294">
        <v>0.01</v>
      </c>
      <c r="F89" s="294">
        <v>0.01</v>
      </c>
      <c r="G89" s="294">
        <v>0.01</v>
      </c>
      <c r="H89" s="294">
        <v>0.01</v>
      </c>
      <c r="I89" s="294">
        <v>0.01</v>
      </c>
      <c r="J89" s="294">
        <v>0.01</v>
      </c>
      <c r="K89" s="294">
        <v>0.01</v>
      </c>
    </row>
    <row r="91" spans="1:11" ht="11.25">
      <c r="A91" s="11" t="s">
        <v>315</v>
      </c>
      <c r="B91" s="2" t="s">
        <v>0</v>
      </c>
      <c r="C91" s="2" t="s">
        <v>0</v>
      </c>
      <c r="D91" s="2" t="s">
        <v>0</v>
      </c>
      <c r="E91" s="2" t="s">
        <v>0</v>
      </c>
      <c r="F91" s="2" t="s">
        <v>0</v>
      </c>
      <c r="G91" s="2" t="s">
        <v>0</v>
      </c>
      <c r="H91" s="2" t="s">
        <v>0</v>
      </c>
      <c r="I91" s="2" t="s">
        <v>0</v>
      </c>
      <c r="J91" s="2" t="s">
        <v>0</v>
      </c>
      <c r="K91" s="2" t="s">
        <v>0</v>
      </c>
    </row>
    <row r="92" spans="1:11" ht="11.25">
      <c r="A92" s="11" t="s">
        <v>321</v>
      </c>
      <c r="B92" s="23">
        <f>B18</f>
        <v>7680</v>
      </c>
      <c r="C92" s="23">
        <f>B92*(1+$C$89)</f>
        <v>7756.8</v>
      </c>
      <c r="D92" s="23">
        <f aca="true" t="shared" si="15" ref="D92:K92">C92*(1+$C$89)</f>
        <v>7834.368</v>
      </c>
      <c r="E92" s="23">
        <f t="shared" si="15"/>
        <v>7912.71168</v>
      </c>
      <c r="F92" s="23">
        <f t="shared" si="15"/>
        <v>7991.838796800001</v>
      </c>
      <c r="G92" s="23">
        <f t="shared" si="15"/>
        <v>8071.757184768001</v>
      </c>
      <c r="H92" s="23">
        <f t="shared" si="15"/>
        <v>8152.474756615681</v>
      </c>
      <c r="I92" s="23">
        <f t="shared" si="15"/>
        <v>8233.999504181838</v>
      </c>
      <c r="J92" s="23">
        <f t="shared" si="15"/>
        <v>8316.339499223657</v>
      </c>
      <c r="K92" s="23">
        <f t="shared" si="15"/>
        <v>8399.502894215893</v>
      </c>
    </row>
    <row r="93" spans="1:11" ht="11.25">
      <c r="A93" s="11" t="s">
        <v>322</v>
      </c>
      <c r="B93" s="23">
        <f>C18</f>
        <v>7680</v>
      </c>
      <c r="C93" s="23">
        <f aca="true" t="shared" si="16" ref="C93:K95">B93*(1+$C$89)</f>
        <v>7756.8</v>
      </c>
      <c r="D93" s="23">
        <f t="shared" si="16"/>
        <v>7834.368</v>
      </c>
      <c r="E93" s="23">
        <f t="shared" si="16"/>
        <v>7912.71168</v>
      </c>
      <c r="F93" s="23">
        <f t="shared" si="16"/>
        <v>7991.838796800001</v>
      </c>
      <c r="G93" s="23">
        <f t="shared" si="16"/>
        <v>8071.757184768001</v>
      </c>
      <c r="H93" s="23">
        <f t="shared" si="16"/>
        <v>8152.474756615681</v>
      </c>
      <c r="I93" s="23">
        <f t="shared" si="16"/>
        <v>8233.999504181838</v>
      </c>
      <c r="J93" s="23">
        <f t="shared" si="16"/>
        <v>8316.339499223657</v>
      </c>
      <c r="K93" s="23">
        <f t="shared" si="16"/>
        <v>8399.502894215893</v>
      </c>
    </row>
    <row r="94" spans="1:11" ht="11.25">
      <c r="A94" s="11" t="s">
        <v>323</v>
      </c>
      <c r="B94" s="23">
        <f>D18</f>
        <v>880</v>
      </c>
      <c r="C94" s="23">
        <f t="shared" si="16"/>
        <v>888.8</v>
      </c>
      <c r="D94" s="23">
        <f t="shared" si="16"/>
        <v>897.688</v>
      </c>
      <c r="E94" s="23">
        <f t="shared" si="16"/>
        <v>906.66488</v>
      </c>
      <c r="F94" s="23">
        <f t="shared" si="16"/>
        <v>915.7315288000001</v>
      </c>
      <c r="G94" s="23">
        <f t="shared" si="16"/>
        <v>924.8888440880002</v>
      </c>
      <c r="H94" s="23">
        <f t="shared" si="16"/>
        <v>934.1377325288802</v>
      </c>
      <c r="I94" s="23">
        <f t="shared" si="16"/>
        <v>943.479109854169</v>
      </c>
      <c r="J94" s="23">
        <f t="shared" si="16"/>
        <v>952.9139009527107</v>
      </c>
      <c r="K94" s="23">
        <f t="shared" si="16"/>
        <v>962.4430399622379</v>
      </c>
    </row>
    <row r="95" spans="1:11" ht="11.25">
      <c r="A95" s="11" t="s">
        <v>324</v>
      </c>
      <c r="B95" s="23">
        <f>E18</f>
        <v>880</v>
      </c>
      <c r="C95" s="23">
        <f t="shared" si="16"/>
        <v>888.8</v>
      </c>
      <c r="D95" s="23">
        <f t="shared" si="16"/>
        <v>897.688</v>
      </c>
      <c r="E95" s="23">
        <f t="shared" si="16"/>
        <v>906.66488</v>
      </c>
      <c r="F95" s="23">
        <f t="shared" si="16"/>
        <v>915.7315288000001</v>
      </c>
      <c r="G95" s="23">
        <f t="shared" si="16"/>
        <v>924.8888440880002</v>
      </c>
      <c r="H95" s="23">
        <f t="shared" si="16"/>
        <v>934.1377325288802</v>
      </c>
      <c r="I95" s="23">
        <f t="shared" si="16"/>
        <v>943.479109854169</v>
      </c>
      <c r="J95" s="23">
        <f t="shared" si="16"/>
        <v>952.9139009527107</v>
      </c>
      <c r="K95" s="23">
        <f t="shared" si="16"/>
        <v>962.4430399622379</v>
      </c>
    </row>
    <row r="96" spans="1:11" ht="11.25">
      <c r="A96" s="11" t="s">
        <v>30</v>
      </c>
      <c r="B96" s="199">
        <f>SUM(B92:B95)</f>
        <v>17120</v>
      </c>
      <c r="C96" s="199">
        <f aca="true" t="shared" si="17" ref="C96:K96">SUM(C92:C95)</f>
        <v>17291.2</v>
      </c>
      <c r="D96" s="199">
        <f t="shared" si="17"/>
        <v>17464.111999999997</v>
      </c>
      <c r="E96" s="199">
        <f t="shared" si="17"/>
        <v>17638.75312</v>
      </c>
      <c r="F96" s="199">
        <f t="shared" si="17"/>
        <v>17815.1406512</v>
      </c>
      <c r="G96" s="199">
        <f t="shared" si="17"/>
        <v>17993.292057712002</v>
      </c>
      <c r="H96" s="199">
        <f t="shared" si="17"/>
        <v>18173.224978289123</v>
      </c>
      <c r="I96" s="199">
        <f t="shared" si="17"/>
        <v>18354.957228072013</v>
      </c>
      <c r="J96" s="199">
        <f t="shared" si="17"/>
        <v>18538.506800352734</v>
      </c>
      <c r="K96" s="199">
        <f t="shared" si="17"/>
        <v>18723.89186835626</v>
      </c>
    </row>
    <row r="97" spans="1:6" ht="11.25">
      <c r="A97" s="165"/>
      <c r="F97" s="166"/>
    </row>
    <row r="98" spans="1:6" ht="11.25">
      <c r="A98" s="165"/>
      <c r="F98" s="166"/>
    </row>
    <row r="99" spans="1:11" ht="11.25">
      <c r="A99" s="165"/>
      <c r="F99" s="166"/>
      <c r="G99" s="166"/>
      <c r="H99" s="166"/>
      <c r="I99" s="166"/>
      <c r="J99" s="166"/>
      <c r="K99" s="166"/>
    </row>
    <row r="100" spans="1:11" ht="11.25">
      <c r="A100" s="165"/>
      <c r="F100" s="166"/>
      <c r="G100" s="166"/>
      <c r="H100" s="166"/>
      <c r="I100" s="166"/>
      <c r="J100" s="166"/>
      <c r="K100" s="166"/>
    </row>
    <row r="101" spans="1:11" ht="23.25" customHeight="1">
      <c r="A101" s="291" t="s">
        <v>31</v>
      </c>
      <c r="B101" s="290" t="s">
        <v>13</v>
      </c>
      <c r="C101" s="292" t="s">
        <v>19</v>
      </c>
      <c r="D101" s="290" t="s">
        <v>20</v>
      </c>
      <c r="E101" s="290" t="s">
        <v>21</v>
      </c>
      <c r="F101" s="292" t="s">
        <v>14</v>
      </c>
      <c r="G101" s="292" t="s">
        <v>259</v>
      </c>
      <c r="H101" s="292" t="s">
        <v>260</v>
      </c>
      <c r="I101" s="292" t="s">
        <v>261</v>
      </c>
      <c r="J101" s="292" t="s">
        <v>262</v>
      </c>
      <c r="K101" s="292" t="s">
        <v>263</v>
      </c>
    </row>
    <row r="102" spans="1:11" ht="11.25">
      <c r="A102" s="11" t="str">
        <f>A31</f>
        <v>Adult Male</v>
      </c>
      <c r="B102" s="23">
        <f aca="true" t="shared" si="18" ref="B102:K102">B39</f>
        <v>2850</v>
      </c>
      <c r="C102" s="23">
        <f t="shared" si="18"/>
        <v>2878.5</v>
      </c>
      <c r="D102" s="23">
        <f t="shared" si="18"/>
        <v>2907.2850000000003</v>
      </c>
      <c r="E102" s="23">
        <f t="shared" si="18"/>
        <v>2936.3578500000003</v>
      </c>
      <c r="F102" s="23">
        <f t="shared" si="18"/>
        <v>2965.7214285000005</v>
      </c>
      <c r="G102" s="23">
        <f t="shared" si="18"/>
        <v>2995.3786427850005</v>
      </c>
      <c r="H102" s="23">
        <f t="shared" si="18"/>
        <v>3025.3324292128505</v>
      </c>
      <c r="I102" s="23">
        <f t="shared" si="18"/>
        <v>3055.585753504979</v>
      </c>
      <c r="J102" s="23">
        <f t="shared" si="18"/>
        <v>3086.141611040029</v>
      </c>
      <c r="K102" s="23">
        <f t="shared" si="18"/>
        <v>3117.0030271504293</v>
      </c>
    </row>
    <row r="103" spans="1:11" ht="11.25">
      <c r="A103" s="11" t="str">
        <f>A43</f>
        <v>Adult Female</v>
      </c>
      <c r="B103" s="23">
        <f aca="true" t="shared" si="19" ref="B103:K103">B51</f>
        <v>2850</v>
      </c>
      <c r="C103" s="23">
        <f t="shared" si="19"/>
        <v>2878.5</v>
      </c>
      <c r="D103" s="23">
        <f t="shared" si="19"/>
        <v>2907.2850000000003</v>
      </c>
      <c r="E103" s="23">
        <f t="shared" si="19"/>
        <v>2936.3578500000003</v>
      </c>
      <c r="F103" s="23">
        <f t="shared" si="19"/>
        <v>2965.7214285000005</v>
      </c>
      <c r="G103" s="23">
        <f t="shared" si="19"/>
        <v>2995.3786427850005</v>
      </c>
      <c r="H103" s="23">
        <f t="shared" si="19"/>
        <v>3025.3324292128505</v>
      </c>
      <c r="I103" s="23">
        <f t="shared" si="19"/>
        <v>3055.585753504979</v>
      </c>
      <c r="J103" s="23">
        <f t="shared" si="19"/>
        <v>3086.141611040029</v>
      </c>
      <c r="K103" s="23">
        <f t="shared" si="19"/>
        <v>3117.0030271504293</v>
      </c>
    </row>
    <row r="104" spans="1:11" ht="11.25">
      <c r="A104" s="11" t="str">
        <f>A55</f>
        <v>Junior Male</v>
      </c>
      <c r="B104" s="23">
        <f aca="true" t="shared" si="20" ref="B104:K104">B63</f>
        <v>1620</v>
      </c>
      <c r="C104" s="23">
        <f t="shared" si="20"/>
        <v>1636.2</v>
      </c>
      <c r="D104" s="23">
        <f t="shared" si="20"/>
        <v>1652.562</v>
      </c>
      <c r="E104" s="23">
        <f t="shared" si="20"/>
        <v>1669.0876199999998</v>
      </c>
      <c r="F104" s="23">
        <f t="shared" si="20"/>
        <v>1685.7784961999998</v>
      </c>
      <c r="G104" s="23">
        <f t="shared" si="20"/>
        <v>1702.636281162</v>
      </c>
      <c r="H104" s="23">
        <f t="shared" si="20"/>
        <v>1719.6626439736199</v>
      </c>
      <c r="I104" s="23">
        <f t="shared" si="20"/>
        <v>1736.8592704133562</v>
      </c>
      <c r="J104" s="23">
        <f t="shared" si="20"/>
        <v>1754.22786311749</v>
      </c>
      <c r="K104" s="23">
        <f t="shared" si="20"/>
        <v>1771.770141748665</v>
      </c>
    </row>
    <row r="105" spans="1:11" ht="11.25">
      <c r="A105" s="11" t="str">
        <f>A67</f>
        <v>Junior Female</v>
      </c>
      <c r="B105" s="23">
        <f aca="true" t="shared" si="21" ref="B105:K105">B75</f>
        <v>1080</v>
      </c>
      <c r="C105" s="23">
        <f t="shared" si="21"/>
        <v>1090.8000000000002</v>
      </c>
      <c r="D105" s="23">
        <f t="shared" si="21"/>
        <v>1101.708</v>
      </c>
      <c r="E105" s="23">
        <f t="shared" si="21"/>
        <v>1112.7250800000002</v>
      </c>
      <c r="F105" s="23">
        <f t="shared" si="21"/>
        <v>1123.8523308000001</v>
      </c>
      <c r="G105" s="23">
        <f t="shared" si="21"/>
        <v>1135.0908541080003</v>
      </c>
      <c r="H105" s="23">
        <f t="shared" si="21"/>
        <v>1146.4417626490801</v>
      </c>
      <c r="I105" s="23">
        <f t="shared" si="21"/>
        <v>1157.906180275571</v>
      </c>
      <c r="J105" s="23">
        <f t="shared" si="21"/>
        <v>1169.4852420783268</v>
      </c>
      <c r="K105" s="23">
        <f t="shared" si="21"/>
        <v>1181.18009449911</v>
      </c>
    </row>
    <row r="106" spans="1:11" ht="11.25">
      <c r="A106" s="11" t="str">
        <f>A77</f>
        <v>Social</v>
      </c>
      <c r="B106" s="23">
        <f aca="true" t="shared" si="22" ref="B106:K106">B85</f>
        <v>0</v>
      </c>
      <c r="C106" s="23">
        <f t="shared" si="22"/>
        <v>0</v>
      </c>
      <c r="D106" s="23">
        <f t="shared" si="22"/>
        <v>0</v>
      </c>
      <c r="E106" s="23">
        <f t="shared" si="22"/>
        <v>0</v>
      </c>
      <c r="F106" s="23">
        <f t="shared" si="22"/>
        <v>0</v>
      </c>
      <c r="G106" s="23">
        <f t="shared" si="22"/>
        <v>0</v>
      </c>
      <c r="H106" s="23">
        <f t="shared" si="22"/>
        <v>0</v>
      </c>
      <c r="I106" s="23">
        <f t="shared" si="22"/>
        <v>0</v>
      </c>
      <c r="J106" s="23">
        <f t="shared" si="22"/>
        <v>0</v>
      </c>
      <c r="K106" s="23">
        <f t="shared" si="22"/>
        <v>0</v>
      </c>
    </row>
    <row r="107" spans="1:11" ht="11.25">
      <c r="A107" s="11" t="s">
        <v>327</v>
      </c>
      <c r="B107" s="199">
        <f>SUM(B102:B106)</f>
        <v>8400</v>
      </c>
      <c r="C107" s="199">
        <f>SUM(C102:C106)</f>
        <v>8484</v>
      </c>
      <c r="D107" s="199">
        <f aca="true" t="shared" si="23" ref="D107:K107">SUM(D102:D106)</f>
        <v>8568.84</v>
      </c>
      <c r="E107" s="199">
        <f t="shared" si="23"/>
        <v>8654.528400000001</v>
      </c>
      <c r="F107" s="199">
        <f t="shared" si="23"/>
        <v>8741.073684</v>
      </c>
      <c r="G107" s="199">
        <f t="shared" si="23"/>
        <v>8828.48442084</v>
      </c>
      <c r="H107" s="199">
        <f t="shared" si="23"/>
        <v>8916.7692650484</v>
      </c>
      <c r="I107" s="199">
        <f t="shared" si="23"/>
        <v>9005.936957698885</v>
      </c>
      <c r="J107" s="199">
        <f t="shared" si="23"/>
        <v>9095.996327275874</v>
      </c>
      <c r="K107" s="199">
        <f t="shared" si="23"/>
        <v>9186.956290548635</v>
      </c>
    </row>
    <row r="108" spans="2:11" ht="11.25">
      <c r="B108" s="23"/>
      <c r="C108" s="23"/>
      <c r="D108" s="23"/>
      <c r="E108" s="23"/>
      <c r="F108" s="23"/>
      <c r="G108" s="23"/>
      <c r="H108" s="23"/>
      <c r="I108" s="23"/>
      <c r="J108" s="23"/>
      <c r="K108" s="23"/>
    </row>
    <row r="109" spans="1:11" ht="11.25">
      <c r="A109" s="11" t="s">
        <v>315</v>
      </c>
      <c r="B109" s="23">
        <f>B96</f>
        <v>17120</v>
      </c>
      <c r="C109" s="23">
        <f aca="true" t="shared" si="24" ref="C109:K109">C96</f>
        <v>17291.2</v>
      </c>
      <c r="D109" s="23">
        <f t="shared" si="24"/>
        <v>17464.111999999997</v>
      </c>
      <c r="E109" s="23">
        <f t="shared" si="24"/>
        <v>17638.75312</v>
      </c>
      <c r="F109" s="23">
        <f t="shared" si="24"/>
        <v>17815.1406512</v>
      </c>
      <c r="G109" s="23">
        <f t="shared" si="24"/>
        <v>17993.292057712002</v>
      </c>
      <c r="H109" s="23">
        <f t="shared" si="24"/>
        <v>18173.224978289123</v>
      </c>
      <c r="I109" s="23">
        <f t="shared" si="24"/>
        <v>18354.957228072013</v>
      </c>
      <c r="J109" s="23">
        <f t="shared" si="24"/>
        <v>18538.506800352734</v>
      </c>
      <c r="K109" s="23">
        <f t="shared" si="24"/>
        <v>18723.89186835626</v>
      </c>
    </row>
    <row r="110" spans="1:11" ht="11.25">
      <c r="A110" s="11" t="s">
        <v>346</v>
      </c>
      <c r="B110" s="23">
        <f>B20+B21</f>
        <v>2500</v>
      </c>
      <c r="C110" s="23">
        <f aca="true" t="shared" si="25" ref="C110:K110">B110</f>
        <v>2500</v>
      </c>
      <c r="D110" s="23">
        <f t="shared" si="25"/>
        <v>2500</v>
      </c>
      <c r="E110" s="23">
        <f t="shared" si="25"/>
        <v>2500</v>
      </c>
      <c r="F110" s="23">
        <f t="shared" si="25"/>
        <v>2500</v>
      </c>
      <c r="G110" s="23">
        <f t="shared" si="25"/>
        <v>2500</v>
      </c>
      <c r="H110" s="23">
        <f t="shared" si="25"/>
        <v>2500</v>
      </c>
      <c r="I110" s="23">
        <f t="shared" si="25"/>
        <v>2500</v>
      </c>
      <c r="J110" s="23">
        <f t="shared" si="25"/>
        <v>2500</v>
      </c>
      <c r="K110" s="23">
        <f t="shared" si="25"/>
        <v>2500</v>
      </c>
    </row>
    <row r="111" spans="1:11" ht="11.25">
      <c r="A111" s="11" t="s">
        <v>354</v>
      </c>
      <c r="B111" s="23">
        <f>G27+G28</f>
        <v>2700</v>
      </c>
      <c r="C111" s="23">
        <f>B111</f>
        <v>2700</v>
      </c>
      <c r="D111" s="23">
        <f aca="true" t="shared" si="26" ref="D111:K111">C111</f>
        <v>2700</v>
      </c>
      <c r="E111" s="23">
        <f t="shared" si="26"/>
        <v>2700</v>
      </c>
      <c r="F111" s="23">
        <f t="shared" si="26"/>
        <v>2700</v>
      </c>
      <c r="G111" s="23">
        <f t="shared" si="26"/>
        <v>2700</v>
      </c>
      <c r="H111" s="23">
        <f t="shared" si="26"/>
        <v>2700</v>
      </c>
      <c r="I111" s="23">
        <f t="shared" si="26"/>
        <v>2700</v>
      </c>
      <c r="J111" s="23">
        <f t="shared" si="26"/>
        <v>2700</v>
      </c>
      <c r="K111" s="23">
        <f t="shared" si="26"/>
        <v>2700</v>
      </c>
    </row>
    <row r="112" spans="1:11" ht="11.25">
      <c r="A112" s="11" t="s">
        <v>378</v>
      </c>
      <c r="B112" s="23">
        <f>B23+B24</f>
        <v>3000</v>
      </c>
      <c r="C112" s="23">
        <f>B112</f>
        <v>3000</v>
      </c>
      <c r="D112" s="23">
        <f aca="true" t="shared" si="27" ref="D112:K112">C112</f>
        <v>3000</v>
      </c>
      <c r="E112" s="23">
        <f t="shared" si="27"/>
        <v>3000</v>
      </c>
      <c r="F112" s="23">
        <f t="shared" si="27"/>
        <v>3000</v>
      </c>
      <c r="G112" s="23">
        <f t="shared" si="27"/>
        <v>3000</v>
      </c>
      <c r="H112" s="23">
        <f t="shared" si="27"/>
        <v>3000</v>
      </c>
      <c r="I112" s="23">
        <f t="shared" si="27"/>
        <v>3000</v>
      </c>
      <c r="J112" s="23">
        <f t="shared" si="27"/>
        <v>3000</v>
      </c>
      <c r="K112" s="23">
        <f t="shared" si="27"/>
        <v>3000</v>
      </c>
    </row>
    <row r="113" spans="1:11" ht="11.25">
      <c r="A113" s="11" t="s">
        <v>30</v>
      </c>
      <c r="B113" s="199">
        <f>B107+B109+B110+B111+B112</f>
        <v>33720</v>
      </c>
      <c r="C113" s="199">
        <f aca="true" t="shared" si="28" ref="C113:K113">C107+C109+C110+C111+C112</f>
        <v>33975.2</v>
      </c>
      <c r="D113" s="199">
        <f t="shared" si="28"/>
        <v>34232.952</v>
      </c>
      <c r="E113" s="199">
        <f t="shared" si="28"/>
        <v>34493.281520000004</v>
      </c>
      <c r="F113" s="199">
        <f t="shared" si="28"/>
        <v>34756.2143352</v>
      </c>
      <c r="G113" s="199">
        <f t="shared" si="28"/>
        <v>35021.776478552005</v>
      </c>
      <c r="H113" s="199">
        <f t="shared" si="28"/>
        <v>35289.994243337525</v>
      </c>
      <c r="I113" s="199">
        <f t="shared" si="28"/>
        <v>35560.8941857709</v>
      </c>
      <c r="J113" s="199">
        <f t="shared" si="28"/>
        <v>35834.50312762861</v>
      </c>
      <c r="K113" s="199">
        <f t="shared" si="28"/>
        <v>36110.84815890489</v>
      </c>
    </row>
    <row r="114" spans="1:11" ht="11.25">
      <c r="A114" s="165"/>
      <c r="F114" s="166"/>
      <c r="G114" s="166"/>
      <c r="H114" s="166"/>
      <c r="I114" s="166"/>
      <c r="J114" s="166"/>
      <c r="K114" s="166"/>
    </row>
    <row r="115" spans="1:11" ht="11.25">
      <c r="A115" s="165" t="s">
        <v>325</v>
      </c>
      <c r="B115" s="167">
        <f>G19</f>
        <v>3000</v>
      </c>
      <c r="C115" s="167">
        <f>B115</f>
        <v>3000</v>
      </c>
      <c r="D115" s="167">
        <f aca="true" t="shared" si="29" ref="D115:K117">C115</f>
        <v>3000</v>
      </c>
      <c r="E115" s="167">
        <f t="shared" si="29"/>
        <v>3000</v>
      </c>
      <c r="F115" s="167">
        <f t="shared" si="29"/>
        <v>3000</v>
      </c>
      <c r="G115" s="167">
        <f t="shared" si="29"/>
        <v>3000</v>
      </c>
      <c r="H115" s="167">
        <f t="shared" si="29"/>
        <v>3000</v>
      </c>
      <c r="I115" s="167">
        <f t="shared" si="29"/>
        <v>3000</v>
      </c>
      <c r="J115" s="167">
        <f t="shared" si="29"/>
        <v>3000</v>
      </c>
      <c r="K115" s="167">
        <f t="shared" si="29"/>
        <v>3000</v>
      </c>
    </row>
    <row r="116" spans="1:11" ht="11.25">
      <c r="A116" s="165" t="s">
        <v>355</v>
      </c>
      <c r="B116" s="167">
        <f>D27+D28</f>
        <v>3600</v>
      </c>
      <c r="C116" s="167">
        <f>B116</f>
        <v>3600</v>
      </c>
      <c r="D116" s="167">
        <f t="shared" si="29"/>
        <v>3600</v>
      </c>
      <c r="E116" s="167">
        <f t="shared" si="29"/>
        <v>3600</v>
      </c>
      <c r="F116" s="167">
        <f t="shared" si="29"/>
        <v>3600</v>
      </c>
      <c r="G116" s="167">
        <f t="shared" si="29"/>
        <v>3600</v>
      </c>
      <c r="H116" s="167">
        <f t="shared" si="29"/>
        <v>3600</v>
      </c>
      <c r="I116" s="167">
        <f t="shared" si="29"/>
        <v>3600</v>
      </c>
      <c r="J116" s="167">
        <f t="shared" si="29"/>
        <v>3600</v>
      </c>
      <c r="K116" s="167">
        <f t="shared" si="29"/>
        <v>3600</v>
      </c>
    </row>
    <row r="117" spans="1:11" ht="11.25">
      <c r="A117" s="165" t="s">
        <v>310</v>
      </c>
      <c r="B117" s="199">
        <f>B115+B116</f>
        <v>6600</v>
      </c>
      <c r="C117" s="199">
        <f>B117</f>
        <v>6600</v>
      </c>
      <c r="D117" s="199">
        <f t="shared" si="29"/>
        <v>6600</v>
      </c>
      <c r="E117" s="199">
        <f t="shared" si="29"/>
        <v>6600</v>
      </c>
      <c r="F117" s="199">
        <f t="shared" si="29"/>
        <v>6600</v>
      </c>
      <c r="G117" s="199">
        <f t="shared" si="29"/>
        <v>6600</v>
      </c>
      <c r="H117" s="199">
        <f t="shared" si="29"/>
        <v>6600</v>
      </c>
      <c r="I117" s="199">
        <f t="shared" si="29"/>
        <v>6600</v>
      </c>
      <c r="J117" s="199">
        <f t="shared" si="29"/>
        <v>6600</v>
      </c>
      <c r="K117" s="199">
        <f t="shared" si="29"/>
        <v>6600</v>
      </c>
    </row>
    <row r="148" spans="1:6" ht="11.25">
      <c r="A148" s="165"/>
      <c r="F148" s="166"/>
    </row>
    <row r="149" spans="1:6" ht="11.25">
      <c r="A149" s="165"/>
      <c r="F149" s="166"/>
    </row>
    <row r="180" spans="2:11" ht="11.25">
      <c r="B180" s="26"/>
      <c r="C180" s="26"/>
      <c r="D180" s="26"/>
      <c r="E180" s="26"/>
      <c r="F180" s="196"/>
      <c r="G180" s="196"/>
      <c r="H180" s="196"/>
      <c r="I180" s="196"/>
      <c r="J180" s="196"/>
      <c r="K180" s="196"/>
    </row>
    <row r="210" spans="1:6" ht="11.25">
      <c r="A210" s="165"/>
      <c r="F210" s="166"/>
    </row>
    <row r="211" spans="1:6" ht="11.25">
      <c r="A211" s="165"/>
      <c r="F211" s="166"/>
    </row>
    <row r="212" spans="1:6" ht="11.25">
      <c r="A212" s="165"/>
      <c r="F212" s="166"/>
    </row>
    <row r="213" spans="1:6" ht="11.25">
      <c r="A213" s="165"/>
      <c r="F213" s="166"/>
    </row>
    <row r="214" spans="1:6" ht="11.25">
      <c r="A214" s="165"/>
      <c r="F214" s="166"/>
    </row>
    <row r="215" spans="1:6" ht="11.25">
      <c r="A215" s="165"/>
      <c r="F215" s="166"/>
    </row>
    <row r="216" spans="1:6" ht="11.25">
      <c r="A216" s="165"/>
      <c r="F216" s="166"/>
    </row>
    <row r="217" spans="1:6" ht="11.25">
      <c r="A217" s="165"/>
      <c r="F217" s="166"/>
    </row>
    <row r="218" spans="1:6" ht="11.25">
      <c r="A218" s="165"/>
      <c r="F218" s="166"/>
    </row>
    <row r="219" spans="1:6" ht="11.25">
      <c r="A219" s="165"/>
      <c r="F219" s="166"/>
    </row>
    <row r="220" spans="1:6" ht="11.25">
      <c r="A220" s="165"/>
      <c r="F220" s="166"/>
    </row>
    <row r="221" spans="1:6" ht="11.25">
      <c r="A221" s="165"/>
      <c r="F221" s="166"/>
    </row>
    <row r="222" spans="1:6" ht="11.25">
      <c r="A222" s="165"/>
      <c r="F222" s="166"/>
    </row>
    <row r="223" spans="1:6" ht="11.25">
      <c r="A223" s="165"/>
      <c r="F223" s="166"/>
    </row>
    <row r="224" spans="1:6" ht="11.25">
      <c r="A224" s="165"/>
      <c r="F224" s="166"/>
    </row>
    <row r="225" spans="1:6" ht="11.25">
      <c r="A225" s="165"/>
      <c r="F225" s="166"/>
    </row>
    <row r="226" spans="1:6" ht="11.25">
      <c r="A226" s="165"/>
      <c r="F226" s="166"/>
    </row>
    <row r="227" spans="1:6" ht="11.25">
      <c r="A227" s="165"/>
      <c r="F227" s="166"/>
    </row>
    <row r="228" spans="1:6" ht="11.25">
      <c r="A228" s="165"/>
      <c r="F228" s="166"/>
    </row>
    <row r="229" spans="1:6" ht="11.25">
      <c r="A229" s="165"/>
      <c r="F229" s="166"/>
    </row>
    <row r="230" spans="1:6" ht="11.25">
      <c r="A230" s="165"/>
      <c r="F230" s="166"/>
    </row>
    <row r="231" spans="1:6" ht="11.25">
      <c r="A231" s="165"/>
      <c r="F231" s="166"/>
    </row>
    <row r="232" spans="1:6" ht="11.25">
      <c r="A232" s="165"/>
      <c r="F232" s="166"/>
    </row>
    <row r="233" spans="1:6" ht="11.25">
      <c r="A233" s="165"/>
      <c r="F233" s="166"/>
    </row>
    <row r="234" spans="1:6" ht="11.25">
      <c r="A234" s="165"/>
      <c r="F234" s="166"/>
    </row>
    <row r="235" spans="1:6" ht="11.25">
      <c r="A235" s="165"/>
      <c r="F235" s="166"/>
    </row>
    <row r="236" spans="1:6" ht="11.25">
      <c r="A236" s="165"/>
      <c r="F236" s="166"/>
    </row>
    <row r="237" spans="1:6" ht="11.25">
      <c r="A237" s="165"/>
      <c r="F237" s="166"/>
    </row>
    <row r="238" spans="1:6" ht="11.25">
      <c r="A238" s="165"/>
      <c r="F238" s="166"/>
    </row>
    <row r="239" spans="1:6" ht="11.25">
      <c r="A239" s="165"/>
      <c r="F239" s="166"/>
    </row>
  </sheetData>
  <sheetProtection/>
  <printOptions horizontalCentered="1"/>
  <pageMargins left="0.5511811023622047" right="0.7480314960629921" top="0.1968503937007874" bottom="0.1968503937007874" header="0.5118110236220472" footer="0.5118110236220472"/>
  <pageSetup horizontalDpi="600" verticalDpi="600" orientation="landscape" paperSize="9" scale="83" r:id="rId1"/>
  <headerFooter alignWithMargins="0">
    <oddFooter>&amp;C&amp;F</oddFooter>
  </headerFooter>
  <rowBreaks count="4" manualBreakCount="4">
    <brk id="29" max="7" man="1"/>
    <brk id="54" max="7" man="1"/>
    <brk id="97" max="7" man="1"/>
    <brk id="149" max="7" man="1"/>
  </rowBreaks>
</worksheet>
</file>

<file path=xl/worksheets/sheet9.xml><?xml version="1.0" encoding="utf-8"?>
<worksheet xmlns="http://schemas.openxmlformats.org/spreadsheetml/2006/main" xmlns:r="http://schemas.openxmlformats.org/officeDocument/2006/relationships">
  <sheetPr codeName="Sheet13">
    <tabColor rgb="FFFFC000"/>
    <pageSetUpPr fitToPage="1"/>
  </sheetPr>
  <dimension ref="A1:N17"/>
  <sheetViews>
    <sheetView zoomScaleSheetLayoutView="75" zoomScalePageLayoutView="0" workbookViewId="0" topLeftCell="A1">
      <selection activeCell="K7" sqref="J7:K7"/>
    </sheetView>
  </sheetViews>
  <sheetFormatPr defaultColWidth="11.421875" defaultRowHeight="12.75"/>
  <cols>
    <col min="1" max="1" width="34.8515625" style="3" bestFit="1" customWidth="1"/>
    <col min="2" max="2" width="23.00390625" style="3" customWidth="1"/>
    <col min="3" max="3" width="20.421875" style="3" customWidth="1"/>
    <col min="4" max="4" width="13.8515625" style="3" customWidth="1"/>
    <col min="5" max="5" width="14.140625" style="3" customWidth="1"/>
    <col min="6" max="6" width="12.28125" style="3" customWidth="1"/>
    <col min="7" max="7" width="13.140625" style="3" customWidth="1"/>
    <col min="8" max="8" width="11.00390625" style="3" customWidth="1"/>
    <col min="9" max="9" width="13.7109375" style="3" customWidth="1"/>
    <col min="10" max="10" width="13.28125" style="3" customWidth="1"/>
    <col min="11" max="11" width="11.00390625" style="3" customWidth="1"/>
    <col min="12" max="12" width="11.28125" style="3" customWidth="1"/>
    <col min="13" max="16384" width="11.421875" style="3" customWidth="1"/>
  </cols>
  <sheetData>
    <row r="1" ht="18">
      <c r="A1" s="173" t="str">
        <f>'Front Cover'!A8:M8</f>
        <v>England Hockey</v>
      </c>
    </row>
    <row r="2" ht="12.75">
      <c r="A2" s="3" t="str">
        <f>'Front Cover'!A10:M10</f>
        <v>Non-Asset Owning Club</v>
      </c>
    </row>
    <row r="3" spans="1:13" ht="15.75">
      <c r="A3" s="174" t="s">
        <v>367</v>
      </c>
      <c r="B3" s="12"/>
      <c r="C3" s="12"/>
      <c r="D3" s="12"/>
      <c r="E3" s="12"/>
      <c r="G3" s="12"/>
      <c r="H3" s="12"/>
      <c r="I3" s="12"/>
      <c r="J3" s="12"/>
      <c r="K3" s="12"/>
      <c r="L3" s="12"/>
      <c r="M3" s="12"/>
    </row>
    <row r="4" spans="1:13" ht="12.75">
      <c r="A4" s="1" t="s">
        <v>10</v>
      </c>
      <c r="B4" s="12"/>
      <c r="C4" s="12"/>
      <c r="D4" s="12"/>
      <c r="E4" s="12"/>
      <c r="F4" s="12"/>
      <c r="G4" s="12"/>
      <c r="H4" s="12"/>
      <c r="I4" s="12"/>
      <c r="J4" s="12"/>
      <c r="K4" s="12"/>
      <c r="L4" s="12"/>
      <c r="M4" s="12"/>
    </row>
    <row r="5" spans="2:13" ht="12.75">
      <c r="B5" s="12"/>
      <c r="C5" s="12"/>
      <c r="D5" s="12"/>
      <c r="E5" s="12"/>
      <c r="F5" s="12"/>
      <c r="G5" s="12"/>
      <c r="H5" s="12"/>
      <c r="I5" s="12"/>
      <c r="J5" s="12"/>
      <c r="K5" s="12"/>
      <c r="L5" s="12"/>
      <c r="M5" s="12"/>
    </row>
    <row r="6" spans="1:12" s="10" customFormat="1" ht="27.75" customHeight="1">
      <c r="A6" s="290" t="s">
        <v>276</v>
      </c>
      <c r="B6" s="315" t="s">
        <v>360</v>
      </c>
      <c r="C6" s="290" t="s">
        <v>271</v>
      </c>
      <c r="D6" s="290" t="s">
        <v>272</v>
      </c>
      <c r="E6" s="290" t="s">
        <v>273</v>
      </c>
      <c r="F6" s="290" t="s">
        <v>274</v>
      </c>
      <c r="G6" s="290" t="s">
        <v>275</v>
      </c>
      <c r="H6" s="303"/>
      <c r="J6" s="15"/>
      <c r="K6" s="15"/>
      <c r="L6" s="15"/>
    </row>
    <row r="7" spans="1:13" s="10" customFormat="1" ht="11.25">
      <c r="A7" s="254" t="s">
        <v>356</v>
      </c>
      <c r="B7" s="300"/>
      <c r="C7" s="300" t="s">
        <v>361</v>
      </c>
      <c r="D7" s="300">
        <v>4</v>
      </c>
      <c r="E7" s="305">
        <v>50</v>
      </c>
      <c r="F7" s="300">
        <v>30</v>
      </c>
      <c r="G7" s="304">
        <f aca="true" t="shared" si="0" ref="G7:G12">D7*E7*F7</f>
        <v>6000</v>
      </c>
      <c r="H7" s="7"/>
      <c r="J7" s="15"/>
      <c r="K7" s="25"/>
      <c r="L7" s="15"/>
      <c r="M7" s="176"/>
    </row>
    <row r="8" spans="1:13" s="10" customFormat="1" ht="11.25">
      <c r="A8" s="254" t="s">
        <v>356</v>
      </c>
      <c r="B8" s="300"/>
      <c r="C8" s="300" t="s">
        <v>361</v>
      </c>
      <c r="D8" s="302">
        <v>0</v>
      </c>
      <c r="E8" s="306">
        <v>0</v>
      </c>
      <c r="F8" s="302">
        <v>30</v>
      </c>
      <c r="G8" s="175">
        <f t="shared" si="0"/>
        <v>0</v>
      </c>
      <c r="H8" s="7"/>
      <c r="J8" s="15"/>
      <c r="K8" s="26"/>
      <c r="L8" s="15"/>
      <c r="M8" s="176"/>
    </row>
    <row r="9" spans="1:12" s="10" customFormat="1" ht="11.25">
      <c r="A9" s="254" t="s">
        <v>356</v>
      </c>
      <c r="B9" s="300"/>
      <c r="C9" s="300" t="s">
        <v>361</v>
      </c>
      <c r="D9" s="302">
        <v>0</v>
      </c>
      <c r="E9" s="306">
        <v>0</v>
      </c>
      <c r="F9" s="302">
        <v>30</v>
      </c>
      <c r="G9" s="175">
        <f t="shared" si="0"/>
        <v>0</v>
      </c>
      <c r="H9" s="7"/>
      <c r="J9" s="15"/>
      <c r="K9" s="25"/>
      <c r="L9" s="15"/>
    </row>
    <row r="10" spans="1:13" s="10" customFormat="1" ht="11.25">
      <c r="A10" s="170" t="s">
        <v>357</v>
      </c>
      <c r="B10" s="300"/>
      <c r="C10" s="300" t="s">
        <v>358</v>
      </c>
      <c r="D10" s="302">
        <v>4</v>
      </c>
      <c r="E10" s="306">
        <v>25</v>
      </c>
      <c r="F10" s="302">
        <v>30</v>
      </c>
      <c r="G10" s="175">
        <f t="shared" si="0"/>
        <v>3000</v>
      </c>
      <c r="H10" s="7"/>
      <c r="J10" s="15"/>
      <c r="K10" s="26"/>
      <c r="L10" s="15"/>
      <c r="M10" s="176"/>
    </row>
    <row r="11" spans="1:13" s="10" customFormat="1" ht="11.25">
      <c r="A11" s="170" t="s">
        <v>364</v>
      </c>
      <c r="B11" s="300"/>
      <c r="C11" s="300" t="s">
        <v>359</v>
      </c>
      <c r="D11" s="302">
        <v>6</v>
      </c>
      <c r="E11" s="306">
        <v>15</v>
      </c>
      <c r="F11" s="302">
        <v>50</v>
      </c>
      <c r="G11" s="175">
        <f t="shared" si="0"/>
        <v>4500</v>
      </c>
      <c r="H11" s="7" t="s">
        <v>363</v>
      </c>
      <c r="J11" s="15"/>
      <c r="K11" s="26"/>
      <c r="L11" s="15"/>
      <c r="M11" s="176"/>
    </row>
    <row r="12" spans="1:13" s="10" customFormat="1" ht="11.25">
      <c r="A12" s="170" t="s">
        <v>365</v>
      </c>
      <c r="B12" s="300"/>
      <c r="C12" s="300" t="s">
        <v>359</v>
      </c>
      <c r="D12" s="302">
        <v>6</v>
      </c>
      <c r="E12" s="306">
        <v>10</v>
      </c>
      <c r="F12" s="302">
        <v>50</v>
      </c>
      <c r="G12" s="175">
        <f t="shared" si="0"/>
        <v>3000</v>
      </c>
      <c r="H12" s="7" t="s">
        <v>366</v>
      </c>
      <c r="J12" s="15"/>
      <c r="K12" s="26"/>
      <c r="L12" s="15"/>
      <c r="M12" s="176"/>
    </row>
    <row r="13" spans="1:13" s="10" customFormat="1" ht="11.25">
      <c r="A13" s="172"/>
      <c r="B13" s="172"/>
      <c r="D13" s="10" t="s">
        <v>10</v>
      </c>
      <c r="E13" s="10" t="s">
        <v>10</v>
      </c>
      <c r="G13" s="116">
        <f>SUM(G7:G12)</f>
        <v>16500</v>
      </c>
      <c r="J13" s="15"/>
      <c r="K13" s="26"/>
      <c r="L13" s="15"/>
      <c r="M13" s="176"/>
    </row>
    <row r="14" spans="10:13" s="10" customFormat="1" ht="11.25">
      <c r="J14" s="15"/>
      <c r="K14" s="26"/>
      <c r="L14" s="15"/>
      <c r="M14" s="176"/>
    </row>
    <row r="15" spans="1:13" s="10" customFormat="1" ht="11.25">
      <c r="A15" s="27" t="s">
        <v>10</v>
      </c>
      <c r="B15" s="27"/>
      <c r="J15" s="15"/>
      <c r="K15" s="15"/>
      <c r="L15" s="15"/>
      <c r="M15" s="176"/>
    </row>
    <row r="16" spans="1:13" s="10" customFormat="1" ht="12" thickBot="1">
      <c r="A16" s="29" t="s">
        <v>362</v>
      </c>
      <c r="B16" s="29"/>
      <c r="D16" s="15"/>
      <c r="E16" s="15"/>
      <c r="G16" s="177">
        <f>G13</f>
        <v>16500</v>
      </c>
      <c r="H16" s="167" t="s">
        <v>10</v>
      </c>
      <c r="J16" s="15"/>
      <c r="K16" s="15"/>
      <c r="L16" s="15"/>
      <c r="M16" s="176"/>
    </row>
    <row r="17" spans="6:14" s="10" customFormat="1" ht="12" thickTop="1">
      <c r="F17" s="29"/>
      <c r="K17" s="15"/>
      <c r="L17" s="15"/>
      <c r="M17" s="15"/>
      <c r="N17" s="176"/>
    </row>
    <row r="18" s="10" customFormat="1" ht="11.25"/>
    <row r="19" s="10" customFormat="1" ht="11.25"/>
    <row r="20" s="10" customFormat="1" ht="11.25"/>
    <row r="21" s="10" customFormat="1" ht="11.25"/>
    <row r="22" s="10" customFormat="1" ht="11.25"/>
    <row r="23" s="10" customFormat="1" ht="11.25"/>
    <row r="24" s="10" customFormat="1" ht="11.25"/>
    <row r="25" s="10" customFormat="1" ht="11.25"/>
    <row r="26" s="10" customFormat="1" ht="11.25"/>
  </sheetData>
  <sheetProtection/>
  <printOptions horizontalCentered="1"/>
  <pageMargins left="0.57" right="0.7480314960629921" top="0.984251968503937" bottom="0.984251968503937" header="0.5118110236220472" footer="0.5118110236220472"/>
  <pageSetup fitToHeight="1" fitToWidth="1" orientation="landscape" paperSize="9" scale="57"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KevinG</dc:creator>
  <cp:keywords/>
  <dc:description/>
  <cp:lastModifiedBy>Simon Dowdy</cp:lastModifiedBy>
  <cp:lastPrinted>2011-04-09T09:05:16Z</cp:lastPrinted>
  <dcterms:created xsi:type="dcterms:W3CDTF">2001-10-10T13:04:30Z</dcterms:created>
  <dcterms:modified xsi:type="dcterms:W3CDTF">2020-12-10T10:13:00Z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0x010100B702728A9D834641811AD7A2781DC86F</vt:lpwstr>
  </property>
  <property fmtid="{D5CDD505-2E9C-101B-9397-08002B2CF9AE}" pid="3" name="_ip_UnifiedCompliancePolicyUIAction">
    <vt:lpwstr/>
  </property>
  <property fmtid="{D5CDD505-2E9C-101B-9397-08002B2CF9AE}" pid="4" name="_ip_UnifiedCompliancePolicyProperties">
    <vt:lpwstr/>
  </property>
</Properties>
</file>